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filterPrivacy="1" defaultThemeVersion="124226"/>
  <bookViews>
    <workbookView xWindow="-105" yWindow="-105" windowWidth="19425" windowHeight="10305" tabRatio="608" activeTab="2"/>
  </bookViews>
  <sheets>
    <sheet name="Note for users" sheetId="82" r:id="rId1"/>
    <sheet name="1.Project Cost and MOF" sheetId="62" r:id="rId2"/>
    <sheet name="2.Capex Details" sheetId="57" r:id="rId3"/>
    <sheet name="3.Other Exp &amp; Taxes" sheetId="22" r:id="rId4"/>
    <sheet name="4.TL repayment sch" sheetId="23" r:id="rId5"/>
    <sheet name="5.Closing Stock &amp; W Capital" sheetId="61" r:id="rId6"/>
    <sheet name="6.Cons Profit &amp; Loss" sheetId="21" r:id="rId7"/>
    <sheet name="7.Balance Sheet" sheetId="69" r:id="rId8"/>
    <sheet name="11.F&amp;V Crop Production details" sheetId="81" state="hidden" r:id="rId9"/>
    <sheet name="8.Cash Flow " sheetId="68" r:id="rId10"/>
    <sheet name="9. Financial indiacators" sheetId="29" r:id="rId11"/>
    <sheet name="10.Grain Production details" sheetId="83" r:id="rId12"/>
    <sheet name="12.Facility 1 - Trading" sheetId="55" state="hidden" r:id="rId13"/>
    <sheet name="17.Facility 6 F &amp; V Processing " sheetId="72" state="hidden" r:id="rId14"/>
    <sheet name="14. Facility 3 Warehouse" sheetId="42" state="hidden" r:id="rId15"/>
    <sheet name="15. Facility 4 Custom Hiring" sheetId="48" state="hidden" r:id="rId16"/>
    <sheet name="16.Facility 5 Agri Input" sheetId="53" state="hidden" r:id="rId17"/>
    <sheet name="13.Facility 2 Grain Processing" sheetId="84" r:id="rId18"/>
    <sheet name="Input Sheet" sheetId="85" r:id="rId19"/>
  </sheets>
  <externalReferences>
    <externalReference r:id="rId20"/>
    <externalReference r:id="rId21"/>
    <externalReference r:id="rId22"/>
  </externalReferences>
  <definedNames>
    <definedName name="_xlnm.Print_Area" localSheetId="1">'1.Project Cost and MOF'!$A$1:$G$35</definedName>
    <definedName name="_xlnm.Print_Area" localSheetId="11">'10.Grain Production details'!$A$1:$H$45</definedName>
    <definedName name="_xlnm.Print_Area" localSheetId="8">'11.F&amp;V Crop Production details'!$A$1:$H$114</definedName>
    <definedName name="_xlnm.Print_Area" localSheetId="12">'12.Facility 1 - Trading'!$A$1:$J$308</definedName>
    <definedName name="_xlnm.Print_Area" localSheetId="17">'13.Facility 2 Grain Processing'!$A$1:$H$126,'13.Facility 2 Grain Processing'!$A$179:$L$614,'13.Facility 2 Grain Processing'!$A$128:$J$175</definedName>
    <definedName name="_xlnm.Print_Area" localSheetId="14">'14. Facility 3 Warehouse'!$A$1:$J$51</definedName>
    <definedName name="_xlnm.Print_Area" localSheetId="15">'15. Facility 4 Custom Hiring'!$A$1:$K$62</definedName>
    <definedName name="_xlnm.Print_Area" localSheetId="16">'16.Facility 5 Agri Input'!$A$1:$J$280</definedName>
    <definedName name="_xlnm.Print_Area" localSheetId="13">'17.Facility 6 F &amp; V Processing '!$A$3:$H$184</definedName>
    <definedName name="_xlnm.Print_Area" localSheetId="2">'2.Capex Details'!$A$1:$H$127</definedName>
    <definedName name="_xlnm.Print_Area" localSheetId="3">'3.Other Exp &amp; Taxes'!$A$1:$R$97</definedName>
    <definedName name="_xlnm.Print_Area" localSheetId="4">'4.TL repayment sch'!$A$1:$H$95</definedName>
    <definedName name="_xlnm.Print_Area" localSheetId="5">'5.Closing Stock &amp; W Capital'!$A$1:$L$95</definedName>
    <definedName name="_xlnm.Print_Area" localSheetId="6">'6.Cons Profit &amp; Loss'!$A$1:$I$63</definedName>
    <definedName name="_xlnm.Print_Area" localSheetId="7">'7.Balance Sheet'!$A$1:$I$51</definedName>
    <definedName name="_xlnm.Print_Area" localSheetId="9">'8.Cash Flow '!$A$1:$J$38</definedName>
    <definedName name="_xlnm.Print_Area" localSheetId="10">'9. Financial indiacators'!$B$1:$M$183</definedName>
  </definedNames>
  <calcPr calcId="144525"/>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M52" i="57" l="1"/>
  <c r="K5" i="83" l="1"/>
  <c r="L5" i="83" s="1"/>
  <c r="M5" i="83" s="1"/>
  <c r="J5" i="83"/>
  <c r="K4" i="83"/>
  <c r="L4" i="83" s="1"/>
  <c r="M4" i="83" s="1"/>
  <c r="N4" i="83" s="1"/>
  <c r="O4" i="83" s="1"/>
  <c r="J4" i="83"/>
  <c r="I5" i="83"/>
  <c r="I4" i="83"/>
  <c r="P31" i="84"/>
  <c r="O31" i="84"/>
  <c r="N31" i="84"/>
  <c r="M31" i="84"/>
  <c r="L31" i="84"/>
  <c r="K31" i="84"/>
  <c r="J31" i="84"/>
  <c r="W55" i="84"/>
  <c r="V55" i="84"/>
  <c r="U55" i="84"/>
  <c r="T55" i="84"/>
  <c r="S55" i="84"/>
  <c r="R55" i="84"/>
  <c r="W54" i="84"/>
  <c r="V54" i="84"/>
  <c r="U54" i="84"/>
  <c r="T54" i="84"/>
  <c r="S54" i="84"/>
  <c r="R54" i="84"/>
  <c r="W53" i="84"/>
  <c r="V53" i="84"/>
  <c r="U53" i="84"/>
  <c r="T53" i="84"/>
  <c r="S53" i="84"/>
  <c r="R53" i="84"/>
  <c r="Q55" i="84"/>
  <c r="Q54" i="84"/>
  <c r="Q53" i="84"/>
  <c r="P30" i="84"/>
  <c r="O30" i="84"/>
  <c r="N30" i="84"/>
  <c r="M30" i="84"/>
  <c r="L30" i="84"/>
  <c r="K30" i="84"/>
  <c r="J30" i="84"/>
  <c r="P29" i="84"/>
  <c r="O29" i="84"/>
  <c r="N29" i="84"/>
  <c r="M29" i="84"/>
  <c r="L29" i="84"/>
  <c r="K29" i="84"/>
  <c r="J29" i="84"/>
  <c r="P28" i="84"/>
  <c r="O28" i="84"/>
  <c r="N28" i="84"/>
  <c r="M28" i="84"/>
  <c r="L28" i="84"/>
  <c r="K28" i="84"/>
  <c r="J28" i="84"/>
  <c r="H18" i="83"/>
  <c r="H17" i="83"/>
  <c r="H16" i="83"/>
  <c r="H15" i="83"/>
  <c r="H14" i="83"/>
  <c r="F18" i="83"/>
  <c r="F17" i="83"/>
  <c r="F16" i="83"/>
  <c r="F15" i="83"/>
  <c r="F14" i="83"/>
  <c r="D18" i="83"/>
  <c r="D17" i="83"/>
  <c r="D16" i="83"/>
  <c r="D15" i="83"/>
  <c r="D14" i="83"/>
  <c r="A562" i="84"/>
  <c r="B569" i="84"/>
  <c r="B571" i="84" s="1"/>
  <c r="C569" i="84"/>
  <c r="D569" i="84"/>
  <c r="E569" i="84"/>
  <c r="F569" i="84"/>
  <c r="G569" i="84"/>
  <c r="H569" i="84"/>
  <c r="A574" i="84"/>
  <c r="B581" i="84"/>
  <c r="C581" i="84"/>
  <c r="D581" i="84"/>
  <c r="E581" i="84"/>
  <c r="F581" i="84"/>
  <c r="G581" i="84"/>
  <c r="H581" i="84"/>
  <c r="B583" i="84"/>
  <c r="C136" i="84" l="1"/>
  <c r="L609" i="84"/>
  <c r="L610" i="84" s="1"/>
  <c r="J136" i="84" s="1"/>
  <c r="H15" i="21" s="1"/>
  <c r="G609" i="84"/>
  <c r="G610" i="84" s="1"/>
  <c r="E136" i="84" s="1"/>
  <c r="C15" i="21" s="1"/>
  <c r="F609" i="84"/>
  <c r="F610" i="84" s="1"/>
  <c r="D136" i="84" s="1"/>
  <c r="B15" i="21" s="1"/>
  <c r="H608" i="84"/>
  <c r="I608" i="84" s="1"/>
  <c r="I609" i="84" s="1"/>
  <c r="H609" i="84" l="1"/>
  <c r="H610" i="84" s="1"/>
  <c r="F136" i="84" s="1"/>
  <c r="D15" i="21" s="1"/>
  <c r="I610" i="84"/>
  <c r="G136" i="84" s="1"/>
  <c r="E15" i="21" s="1"/>
  <c r="J608" i="84"/>
  <c r="J609" i="84" s="1"/>
  <c r="J610" i="84" l="1"/>
  <c r="H136" i="84" s="1"/>
  <c r="F15" i="21" s="1"/>
  <c r="K608" i="84"/>
  <c r="K609" i="84" l="1"/>
  <c r="K610" i="84" s="1"/>
  <c r="I136" i="84" s="1"/>
  <c r="G15" i="21" s="1"/>
  <c r="G58" i="57"/>
  <c r="A45" i="84"/>
  <c r="A44" i="84"/>
  <c r="A43" i="84"/>
  <c r="C215" i="84" l="1"/>
  <c r="D365" i="84"/>
  <c r="E365" i="84" s="1"/>
  <c r="F365" i="84" s="1"/>
  <c r="G365" i="84" s="1"/>
  <c r="H365" i="84" s="1"/>
  <c r="I365" i="84" s="1"/>
  <c r="I215" i="84" s="1"/>
  <c r="B365" i="84"/>
  <c r="B367" i="84" s="1"/>
  <c r="C359" i="84"/>
  <c r="C257" i="84"/>
  <c r="D257" i="84"/>
  <c r="E257" i="84"/>
  <c r="F257" i="84"/>
  <c r="G257" i="84"/>
  <c r="H257" i="84"/>
  <c r="I257" i="84"/>
  <c r="C263" i="84"/>
  <c r="D263" i="84"/>
  <c r="E263" i="84"/>
  <c r="F263" i="84"/>
  <c r="G263" i="84"/>
  <c r="H263" i="84"/>
  <c r="I263" i="84"/>
  <c r="B557" i="84"/>
  <c r="B559" i="84" s="1"/>
  <c r="H110" i="84"/>
  <c r="G110" i="84"/>
  <c r="F110" i="84"/>
  <c r="E110" i="84"/>
  <c r="D110" i="84"/>
  <c r="C110" i="84"/>
  <c r="B110" i="84"/>
  <c r="C23" i="84"/>
  <c r="D23" i="84" s="1"/>
  <c r="E23" i="84" s="1"/>
  <c r="F23" i="84" s="1"/>
  <c r="G23" i="84" s="1"/>
  <c r="H23" i="84" s="1"/>
  <c r="C19" i="84"/>
  <c r="D19" i="84" s="1"/>
  <c r="E19" i="84" s="1"/>
  <c r="F19" i="84" s="1"/>
  <c r="G19" i="84" s="1"/>
  <c r="H19" i="84" s="1"/>
  <c r="C18" i="84"/>
  <c r="D18" i="84" s="1"/>
  <c r="E18" i="84" s="1"/>
  <c r="F18" i="84" s="1"/>
  <c r="G18" i="84" s="1"/>
  <c r="H18" i="84" s="1"/>
  <c r="B15" i="84"/>
  <c r="B16" i="84" s="1"/>
  <c r="F215" i="84" l="1"/>
  <c r="G215" i="84"/>
  <c r="D215" i="84"/>
  <c r="H215" i="84"/>
  <c r="C16" i="84"/>
  <c r="D16" i="84" s="1"/>
  <c r="E16" i="84" s="1"/>
  <c r="F16" i="84" s="1"/>
  <c r="G16" i="84" s="1"/>
  <c r="H16" i="84" s="1"/>
  <c r="H22" i="84" s="1"/>
  <c r="E215" i="84"/>
  <c r="C15" i="84"/>
  <c r="D15" i="84" s="1"/>
  <c r="E15" i="84" s="1"/>
  <c r="F15" i="84" s="1"/>
  <c r="G15" i="84" s="1"/>
  <c r="H15" i="84" s="1"/>
  <c r="B22" i="84"/>
  <c r="B17" i="84"/>
  <c r="G52" i="57"/>
  <c r="G51" i="57"/>
  <c r="C349" i="84"/>
  <c r="B341" i="84"/>
  <c r="B349" i="84" s="1"/>
  <c r="B351" i="84" s="1"/>
  <c r="I350" i="84"/>
  <c r="I379" i="84" s="1"/>
  <c r="H350" i="84"/>
  <c r="H379" i="84" s="1"/>
  <c r="I378" i="84" s="1"/>
  <c r="G350" i="84"/>
  <c r="G379" i="84" s="1"/>
  <c r="H378" i="84" s="1"/>
  <c r="F350" i="84"/>
  <c r="F379" i="84" s="1"/>
  <c r="G378" i="84" s="1"/>
  <c r="E350" i="84"/>
  <c r="E379" i="84" s="1"/>
  <c r="F378" i="84" s="1"/>
  <c r="D350" i="84"/>
  <c r="D379" i="84" s="1"/>
  <c r="E378" i="84" s="1"/>
  <c r="C350" i="84"/>
  <c r="C379" i="84" s="1"/>
  <c r="D378" i="84" s="1"/>
  <c r="B377" i="84"/>
  <c r="C342" i="84"/>
  <c r="D220" i="84"/>
  <c r="E220" i="84" s="1"/>
  <c r="F220" i="84" s="1"/>
  <c r="G220" i="84" s="1"/>
  <c r="H220" i="84" s="1"/>
  <c r="I220" i="84" s="1"/>
  <c r="I349" i="84" s="1"/>
  <c r="B490" i="84"/>
  <c r="C485" i="84"/>
  <c r="D106" i="85"/>
  <c r="C331" i="84"/>
  <c r="H112" i="84"/>
  <c r="G112" i="84"/>
  <c r="F112" i="84"/>
  <c r="E112" i="84"/>
  <c r="D112" i="84"/>
  <c r="C112" i="84"/>
  <c r="B112" i="84"/>
  <c r="H91" i="84"/>
  <c r="G91" i="84"/>
  <c r="F91" i="84"/>
  <c r="E91" i="84"/>
  <c r="D91" i="84"/>
  <c r="C91" i="84"/>
  <c r="B91" i="84"/>
  <c r="F22" i="84" l="1"/>
  <c r="F24" i="84" s="1"/>
  <c r="D22" i="84"/>
  <c r="D114" i="84" s="1"/>
  <c r="G22" i="84"/>
  <c r="G114" i="84" s="1"/>
  <c r="E22" i="84"/>
  <c r="E114" i="84" s="1"/>
  <c r="C22" i="84"/>
  <c r="C114" i="84" s="1"/>
  <c r="C490" i="84"/>
  <c r="C557" i="84"/>
  <c r="B24" i="84"/>
  <c r="B114" i="84"/>
  <c r="H24" i="84"/>
  <c r="H114" i="84"/>
  <c r="C17" i="84"/>
  <c r="D17" i="84" s="1"/>
  <c r="B32" i="84"/>
  <c r="E349" i="84"/>
  <c r="F349" i="84"/>
  <c r="G349" i="84"/>
  <c r="D349" i="84"/>
  <c r="H349" i="84"/>
  <c r="D485" i="84"/>
  <c r="D557" i="84" s="1"/>
  <c r="F7" i="57"/>
  <c r="F6" i="57"/>
  <c r="G57" i="57"/>
  <c r="G56" i="57"/>
  <c r="G55" i="57"/>
  <c r="G54" i="57"/>
  <c r="G53" i="57"/>
  <c r="G50" i="57"/>
  <c r="K50" i="57" l="1"/>
  <c r="G59" i="57"/>
  <c r="G24" i="84"/>
  <c r="E24" i="84"/>
  <c r="F114" i="84"/>
  <c r="D24" i="84"/>
  <c r="C24" i="84"/>
  <c r="B115" i="84"/>
  <c r="B116" i="84" s="1"/>
  <c r="C32" i="84"/>
  <c r="E17" i="84"/>
  <c r="D32" i="84"/>
  <c r="E485" i="84"/>
  <c r="E557" i="84" s="1"/>
  <c r="D490" i="84"/>
  <c r="C161" i="85"/>
  <c r="D45" i="81"/>
  <c r="E45" i="81" s="1"/>
  <c r="F45" i="81" s="1"/>
  <c r="G45" i="81" s="1"/>
  <c r="H45" i="81" s="1"/>
  <c r="A39" i="81"/>
  <c r="A34" i="81"/>
  <c r="A29" i="81"/>
  <c r="A38" i="81" s="1"/>
  <c r="A28" i="81"/>
  <c r="A37" i="81" s="1"/>
  <c r="A27" i="81"/>
  <c r="A36" i="81" s="1"/>
  <c r="A26" i="81"/>
  <c r="A35" i="81" s="1"/>
  <c r="A45" i="81" s="1"/>
  <c r="A25" i="81"/>
  <c r="C23" i="81"/>
  <c r="J18" i="81"/>
  <c r="J16" i="81"/>
  <c r="J15" i="81"/>
  <c r="J14" i="81"/>
  <c r="B9" i="81"/>
  <c r="D17" i="81" s="1"/>
  <c r="F17" i="81" s="1"/>
  <c r="H17" i="81" s="1"/>
  <c r="B7" i="81"/>
  <c r="K51" i="57" l="1"/>
  <c r="K52" i="57" s="1"/>
  <c r="J52" i="57"/>
  <c r="J53" i="57" s="1"/>
  <c r="C115" i="84"/>
  <c r="C116" i="84" s="1"/>
  <c r="D115" i="84"/>
  <c r="D116" i="84" s="1"/>
  <c r="F17" i="84"/>
  <c r="E32" i="84"/>
  <c r="F485" i="84"/>
  <c r="F557" i="84" s="1"/>
  <c r="E490" i="84"/>
  <c r="D18" i="81"/>
  <c r="F18" i="81" s="1"/>
  <c r="H18" i="81" s="1"/>
  <c r="D15" i="81"/>
  <c r="F15" i="81" s="1"/>
  <c r="H15" i="81" s="1"/>
  <c r="D23" i="81"/>
  <c r="E23" i="81" s="1"/>
  <c r="F23" i="81" s="1"/>
  <c r="G23" i="81" s="1"/>
  <c r="H23" i="81" s="1"/>
  <c r="D16" i="81"/>
  <c r="F16" i="81" s="1"/>
  <c r="H16" i="81" s="1"/>
  <c r="D14" i="81"/>
  <c r="F14" i="81" s="1"/>
  <c r="H14" i="81" s="1"/>
  <c r="E115" i="84" l="1"/>
  <c r="E116" i="84" s="1"/>
  <c r="G17" i="84"/>
  <c r="F32" i="84"/>
  <c r="G485" i="84"/>
  <c r="G557" i="84" s="1"/>
  <c r="F490" i="84"/>
  <c r="B8" i="68"/>
  <c r="H51" i="21"/>
  <c r="G51" i="21"/>
  <c r="A39" i="69"/>
  <c r="F115" i="84" l="1"/>
  <c r="F116" i="84" s="1"/>
  <c r="H17" i="84"/>
  <c r="H32" i="84" s="1"/>
  <c r="G32" i="84"/>
  <c r="H485" i="84"/>
  <c r="G490" i="84"/>
  <c r="M77" i="84"/>
  <c r="H490" i="84" l="1"/>
  <c r="H557" i="84"/>
  <c r="G115" i="84"/>
  <c r="G116" i="84" s="1"/>
  <c r="H115" i="84"/>
  <c r="H116" i="84" s="1"/>
  <c r="C23" i="83"/>
  <c r="D23" i="83" s="1"/>
  <c r="E23" i="83" s="1"/>
  <c r="F23" i="83" s="1"/>
  <c r="G23" i="83" s="1"/>
  <c r="H23" i="83" s="1"/>
  <c r="O68" i="57" l="1"/>
  <c r="M64" i="57"/>
  <c r="S134" i="84" l="1"/>
  <c r="C211" i="84"/>
  <c r="B331" i="84"/>
  <c r="B336" i="84" s="1"/>
  <c r="C305" i="84"/>
  <c r="C323" i="84"/>
  <c r="B322" i="84"/>
  <c r="C202" i="84"/>
  <c r="D99" i="85"/>
  <c r="E99" i="85" s="1"/>
  <c r="F99" i="85" s="1"/>
  <c r="G99" i="85" s="1"/>
  <c r="H99" i="85" s="1"/>
  <c r="I99" i="85" s="1"/>
  <c r="J99" i="85" s="1"/>
  <c r="K99" i="85" s="1"/>
  <c r="L99" i="85" s="1"/>
  <c r="B106" i="85"/>
  <c r="B105" i="85"/>
  <c r="B99" i="85"/>
  <c r="B98" i="85"/>
  <c r="B104" i="85"/>
  <c r="B97" i="85"/>
  <c r="B90" i="85"/>
  <c r="B92" i="85"/>
  <c r="B93" i="85"/>
  <c r="B91" i="85"/>
  <c r="E106" i="85" l="1"/>
  <c r="D331" i="84"/>
  <c r="D202" i="84"/>
  <c r="H202" i="84"/>
  <c r="E202" i="84"/>
  <c r="I202" i="84"/>
  <c r="F202" i="84"/>
  <c r="G202" i="84"/>
  <c r="F106" i="85" l="1"/>
  <c r="E331" i="84"/>
  <c r="E211" i="84" s="1"/>
  <c r="D211" i="84"/>
  <c r="G106" i="85" l="1"/>
  <c r="F331" i="84"/>
  <c r="F211" i="84" s="1"/>
  <c r="B210" i="84"/>
  <c r="B111" i="84"/>
  <c r="H106" i="85" l="1"/>
  <c r="G331" i="84"/>
  <c r="G211" i="84" s="1"/>
  <c r="B53" i="84"/>
  <c r="B54" i="84"/>
  <c r="I106" i="85" l="1"/>
  <c r="H331" i="84"/>
  <c r="H211" i="84" s="1"/>
  <c r="E186" i="85"/>
  <c r="D600" i="84" s="1"/>
  <c r="E183" i="85"/>
  <c r="D595" i="84" s="1"/>
  <c r="C600" i="84"/>
  <c r="E185" i="85"/>
  <c r="F185" i="85" s="1"/>
  <c r="G185" i="85" s="1"/>
  <c r="H185" i="85" s="1"/>
  <c r="I185" i="85" s="1"/>
  <c r="J185" i="85" s="1"/>
  <c r="F593" i="84"/>
  <c r="C593" i="84"/>
  <c r="C595" i="84"/>
  <c r="E182" i="85"/>
  <c r="F182" i="85" s="1"/>
  <c r="G182" i="85" s="1"/>
  <c r="H182" i="85" s="1"/>
  <c r="I182" i="85" s="1"/>
  <c r="J182" i="85" s="1"/>
  <c r="I593" i="84" s="1"/>
  <c r="D598" i="84"/>
  <c r="E598" i="84" s="1"/>
  <c r="B171" i="85"/>
  <c r="B177" i="85" s="1"/>
  <c r="F177" i="85" s="1"/>
  <c r="E169" i="85"/>
  <c r="E167" i="85"/>
  <c r="D161" i="85"/>
  <c r="F156" i="85"/>
  <c r="H155" i="85"/>
  <c r="H154" i="85"/>
  <c r="H153" i="85"/>
  <c r="H152" i="85"/>
  <c r="H151" i="85"/>
  <c r="H150" i="85"/>
  <c r="H149" i="85"/>
  <c r="H147" i="85"/>
  <c r="H146" i="85"/>
  <c r="H145" i="85"/>
  <c r="H144" i="85"/>
  <c r="H143" i="85"/>
  <c r="H142" i="85"/>
  <c r="H141" i="85"/>
  <c r="A538" i="84"/>
  <c r="A526" i="84"/>
  <c r="A513" i="84"/>
  <c r="B235" i="84"/>
  <c r="B205" i="84"/>
  <c r="B184" i="84"/>
  <c r="B196" i="84"/>
  <c r="B545" i="84"/>
  <c r="D71" i="85"/>
  <c r="C545" i="84" s="1"/>
  <c r="B533" i="84"/>
  <c r="B520" i="84"/>
  <c r="C455" i="84"/>
  <c r="B455" i="84"/>
  <c r="E133" i="85"/>
  <c r="F133" i="85" s="1"/>
  <c r="G133" i="85" s="1"/>
  <c r="H133" i="85" s="1"/>
  <c r="I133" i="85" s="1"/>
  <c r="H455" i="84" s="1"/>
  <c r="B448" i="84"/>
  <c r="B446" i="84"/>
  <c r="B445" i="84"/>
  <c r="B444" i="84"/>
  <c r="C425" i="84"/>
  <c r="C424" i="84"/>
  <c r="C396" i="84"/>
  <c r="C395" i="84"/>
  <c r="C394" i="84"/>
  <c r="C330" i="84"/>
  <c r="D105" i="85"/>
  <c r="E105" i="85" s="1"/>
  <c r="F105" i="85" s="1"/>
  <c r="G105" i="85" s="1"/>
  <c r="H105" i="85" s="1"/>
  <c r="I105" i="85" s="1"/>
  <c r="J105" i="85" s="1"/>
  <c r="K105" i="85" s="1"/>
  <c r="L105" i="85" s="1"/>
  <c r="C304" i="84"/>
  <c r="B58" i="84"/>
  <c r="B410" i="84"/>
  <c r="B315" i="84"/>
  <c r="B289" i="84"/>
  <c r="B249" i="84"/>
  <c r="C270" i="84"/>
  <c r="C271" i="84"/>
  <c r="C269" i="84"/>
  <c r="D114" i="85"/>
  <c r="D425" i="84" s="1"/>
  <c r="D113" i="85"/>
  <c r="D424" i="84" s="1"/>
  <c r="D110" i="85"/>
  <c r="D396" i="84" s="1"/>
  <c r="D109" i="85"/>
  <c r="E109" i="85" s="1"/>
  <c r="D108" i="85"/>
  <c r="E108" i="85" s="1"/>
  <c r="F108" i="85" s="1"/>
  <c r="G108" i="85" s="1"/>
  <c r="H108" i="85" s="1"/>
  <c r="I108" i="85" s="1"/>
  <c r="J108" i="85" s="1"/>
  <c r="K108" i="85" s="1"/>
  <c r="L108" i="85" s="1"/>
  <c r="D98" i="85"/>
  <c r="D93" i="85"/>
  <c r="D271" i="84" s="1"/>
  <c r="D92" i="85"/>
  <c r="E92" i="85" s="1"/>
  <c r="D91" i="85"/>
  <c r="D269" i="84" s="1"/>
  <c r="D82" i="85"/>
  <c r="C58" i="84" s="1"/>
  <c r="D73" i="85"/>
  <c r="E73" i="85" s="1"/>
  <c r="F73" i="85" s="1"/>
  <c r="G73" i="85" s="1"/>
  <c r="H73" i="85" s="1"/>
  <c r="I73" i="85" s="1"/>
  <c r="J73" i="85" s="1"/>
  <c r="K73" i="85" s="1"/>
  <c r="L73" i="85" s="1"/>
  <c r="D72" i="85"/>
  <c r="E72" i="85" s="1"/>
  <c r="F72" i="85" s="1"/>
  <c r="G72" i="85" s="1"/>
  <c r="H72" i="85" s="1"/>
  <c r="I72" i="85" s="1"/>
  <c r="J72" i="85" s="1"/>
  <c r="K72" i="85" s="1"/>
  <c r="L72" i="85" s="1"/>
  <c r="D70" i="85"/>
  <c r="E70" i="85" s="1"/>
  <c r="F70" i="85" s="1"/>
  <c r="G70" i="85" s="1"/>
  <c r="H70" i="85" s="1"/>
  <c r="I70" i="85" s="1"/>
  <c r="J70" i="85" s="1"/>
  <c r="K70" i="85" s="1"/>
  <c r="L70" i="85" s="1"/>
  <c r="D69" i="85"/>
  <c r="E69" i="85" s="1"/>
  <c r="F69" i="85" s="1"/>
  <c r="G69" i="85" s="1"/>
  <c r="H69" i="85" s="1"/>
  <c r="I69" i="85" s="1"/>
  <c r="J69" i="85" s="1"/>
  <c r="K69" i="85" s="1"/>
  <c r="L69" i="85" s="1"/>
  <c r="D68" i="85"/>
  <c r="E68" i="85" s="1"/>
  <c r="F68" i="85" s="1"/>
  <c r="G68" i="85" s="1"/>
  <c r="H68" i="85" s="1"/>
  <c r="I68" i="85" s="1"/>
  <c r="J68" i="85" s="1"/>
  <c r="K68" i="85" s="1"/>
  <c r="L68" i="85" s="1"/>
  <c r="D25" i="85"/>
  <c r="C54" i="84" s="1"/>
  <c r="D24" i="85"/>
  <c r="C53" i="84" s="1"/>
  <c r="I78" i="84"/>
  <c r="I77" i="84"/>
  <c r="I76" i="84"/>
  <c r="I83" i="84"/>
  <c r="I82" i="84"/>
  <c r="I81" i="84"/>
  <c r="I88" i="84"/>
  <c r="I87" i="84"/>
  <c r="I86" i="84"/>
  <c r="I103" i="84"/>
  <c r="I102" i="84"/>
  <c r="I101" i="84"/>
  <c r="I108" i="84"/>
  <c r="I107" i="84"/>
  <c r="I106" i="84"/>
  <c r="A105" i="84"/>
  <c r="A106" i="84"/>
  <c r="A107" i="84"/>
  <c r="A108" i="84"/>
  <c r="A100" i="84"/>
  <c r="A103" i="84"/>
  <c r="A102" i="84"/>
  <c r="A101" i="84"/>
  <c r="A85" i="84"/>
  <c r="A88" i="84"/>
  <c r="A87" i="84"/>
  <c r="A86" i="84"/>
  <c r="A83" i="84"/>
  <c r="A82" i="84"/>
  <c r="A81" i="84"/>
  <c r="A80" i="84"/>
  <c r="A78" i="84"/>
  <c r="A77" i="84"/>
  <c r="A76" i="84"/>
  <c r="A75" i="84"/>
  <c r="I72" i="84"/>
  <c r="I71" i="84"/>
  <c r="I70" i="84"/>
  <c r="I69" i="84"/>
  <c r="I68" i="84"/>
  <c r="A72" i="84"/>
  <c r="A71" i="84"/>
  <c r="A70" i="84"/>
  <c r="A69" i="84"/>
  <c r="A68" i="84"/>
  <c r="J106" i="85" l="1"/>
  <c r="K106" i="85" s="1"/>
  <c r="L106" i="85" s="1"/>
  <c r="I331" i="84"/>
  <c r="I211" i="84" s="1"/>
  <c r="D170" i="84"/>
  <c r="E161" i="85"/>
  <c r="F186" i="85"/>
  <c r="F183" i="85"/>
  <c r="G183" i="85" s="1"/>
  <c r="H183" i="85" s="1"/>
  <c r="I183" i="85" s="1"/>
  <c r="J183" i="85" s="1"/>
  <c r="I595" i="84" s="1"/>
  <c r="G593" i="84"/>
  <c r="D593" i="84"/>
  <c r="H593" i="84"/>
  <c r="E593" i="84"/>
  <c r="D304" i="84"/>
  <c r="E98" i="85"/>
  <c r="G595" i="84"/>
  <c r="H595" i="84"/>
  <c r="E595" i="84"/>
  <c r="F598" i="84"/>
  <c r="H156" i="85"/>
  <c r="E82" i="85"/>
  <c r="F82" i="85" s="1"/>
  <c r="G82" i="85" s="1"/>
  <c r="H82" i="85" s="1"/>
  <c r="I82" i="85" s="1"/>
  <c r="J82" i="85" s="1"/>
  <c r="K82" i="85" s="1"/>
  <c r="L82" i="85" s="1"/>
  <c r="E91" i="85"/>
  <c r="E269" i="84" s="1"/>
  <c r="D455" i="84"/>
  <c r="E520" i="84"/>
  <c r="F533" i="84"/>
  <c r="E71" i="85"/>
  <c r="E93" i="85"/>
  <c r="E271" i="84" s="1"/>
  <c r="E455" i="84"/>
  <c r="F520" i="84"/>
  <c r="C533" i="84"/>
  <c r="G533" i="84"/>
  <c r="F455" i="84"/>
  <c r="C520" i="84"/>
  <c r="G520" i="84"/>
  <c r="D533" i="84"/>
  <c r="H533" i="84"/>
  <c r="G455" i="84"/>
  <c r="D520" i="84"/>
  <c r="H520" i="84"/>
  <c r="E533" i="84"/>
  <c r="I330" i="84"/>
  <c r="D395" i="84"/>
  <c r="E330" i="84"/>
  <c r="G330" i="84"/>
  <c r="F109" i="85"/>
  <c r="E395" i="84"/>
  <c r="E270" i="84"/>
  <c r="F92" i="85"/>
  <c r="E110" i="85"/>
  <c r="F330" i="84"/>
  <c r="E394" i="84"/>
  <c r="I394" i="84"/>
  <c r="D270" i="84"/>
  <c r="F394" i="84"/>
  <c r="D330" i="84"/>
  <c r="H330" i="84"/>
  <c r="G394" i="84"/>
  <c r="D394" i="84"/>
  <c r="H394" i="84"/>
  <c r="E113" i="85"/>
  <c r="E424" i="84" s="1"/>
  <c r="E114" i="85"/>
  <c r="E425" i="84" s="1"/>
  <c r="E24" i="85"/>
  <c r="E25" i="85"/>
  <c r="M26" i="62"/>
  <c r="K28" i="62"/>
  <c r="F161" i="85" l="1"/>
  <c r="H58" i="84"/>
  <c r="G58" i="84"/>
  <c r="F58" i="84"/>
  <c r="G186" i="85"/>
  <c r="E600" i="84"/>
  <c r="F595" i="84"/>
  <c r="F91" i="85"/>
  <c r="F269" i="84" s="1"/>
  <c r="G598" i="84"/>
  <c r="D58" i="84"/>
  <c r="E58" i="84"/>
  <c r="F93" i="85"/>
  <c r="G93" i="85" s="1"/>
  <c r="F71" i="85"/>
  <c r="D545" i="84"/>
  <c r="G109" i="85"/>
  <c r="F395" i="84"/>
  <c r="F98" i="85"/>
  <c r="E304" i="84"/>
  <c r="G92" i="85"/>
  <c r="F270" i="84"/>
  <c r="F110" i="85"/>
  <c r="E396" i="84"/>
  <c r="F113" i="85"/>
  <c r="F114" i="85"/>
  <c r="F425" i="84" s="1"/>
  <c r="F25" i="85"/>
  <c r="D54" i="84"/>
  <c r="F24" i="85"/>
  <c r="D53" i="84"/>
  <c r="H50" i="84"/>
  <c r="G50" i="84"/>
  <c r="F50" i="84"/>
  <c r="E50" i="84"/>
  <c r="D50" i="84"/>
  <c r="C50" i="84"/>
  <c r="B50" i="84"/>
  <c r="B51" i="84" s="1"/>
  <c r="R24" i="68"/>
  <c r="B122" i="29"/>
  <c r="B137" i="29" s="1"/>
  <c r="B152" i="29" s="1"/>
  <c r="B167" i="29" s="1"/>
  <c r="C122" i="29"/>
  <c r="D122" i="29"/>
  <c r="E122" i="29"/>
  <c r="F122" i="29"/>
  <c r="G122" i="29"/>
  <c r="H122" i="29"/>
  <c r="I122" i="29"/>
  <c r="B123" i="29"/>
  <c r="B138" i="29" s="1"/>
  <c r="B153" i="29" s="1"/>
  <c r="B168" i="29" s="1"/>
  <c r="B124" i="29"/>
  <c r="B139" i="29" s="1"/>
  <c r="B154" i="29" s="1"/>
  <c r="B169" i="29" s="1"/>
  <c r="B125" i="29"/>
  <c r="B140" i="29" s="1"/>
  <c r="B155" i="29" s="1"/>
  <c r="B170" i="29" s="1"/>
  <c r="B126" i="29"/>
  <c r="B141" i="29" s="1"/>
  <c r="B156" i="29" s="1"/>
  <c r="B171" i="29" s="1"/>
  <c r="C126" i="29"/>
  <c r="D126" i="29"/>
  <c r="E126" i="29"/>
  <c r="F126" i="29"/>
  <c r="G126" i="29"/>
  <c r="H126" i="29"/>
  <c r="I126" i="29"/>
  <c r="B127" i="29"/>
  <c r="B142" i="29" s="1"/>
  <c r="B157" i="29" s="1"/>
  <c r="B172" i="29" s="1"/>
  <c r="B143" i="29"/>
  <c r="B158" i="29" s="1"/>
  <c r="B173" i="29" s="1"/>
  <c r="C137" i="29"/>
  <c r="D137" i="29"/>
  <c r="E137" i="29"/>
  <c r="F137" i="29"/>
  <c r="G137" i="29"/>
  <c r="H137" i="29"/>
  <c r="I137" i="29"/>
  <c r="C141" i="29"/>
  <c r="D141" i="29"/>
  <c r="E141" i="29"/>
  <c r="F141" i="29"/>
  <c r="G141" i="29"/>
  <c r="H141" i="29"/>
  <c r="I141" i="29"/>
  <c r="C152" i="29"/>
  <c r="D152" i="29"/>
  <c r="E152" i="29"/>
  <c r="F152" i="29"/>
  <c r="G152" i="29"/>
  <c r="H152" i="29"/>
  <c r="I152" i="29"/>
  <c r="C156" i="29"/>
  <c r="D156" i="29"/>
  <c r="E156" i="29"/>
  <c r="F156" i="29"/>
  <c r="G156" i="29"/>
  <c r="H156" i="29"/>
  <c r="I156" i="29"/>
  <c r="C167" i="29"/>
  <c r="D167" i="29"/>
  <c r="E167" i="29"/>
  <c r="F167" i="29"/>
  <c r="G167" i="29"/>
  <c r="H167" i="29"/>
  <c r="I167" i="29"/>
  <c r="C171" i="29"/>
  <c r="D171" i="29"/>
  <c r="E171" i="29"/>
  <c r="F171" i="29"/>
  <c r="G171" i="29"/>
  <c r="H171" i="29"/>
  <c r="I171" i="29"/>
  <c r="D16" i="22"/>
  <c r="D9" i="22"/>
  <c r="E3" i="22"/>
  <c r="E16" i="22" s="1"/>
  <c r="L157" i="84"/>
  <c r="K157" i="84"/>
  <c r="L156" i="84"/>
  <c r="K156" i="84"/>
  <c r="L155" i="84"/>
  <c r="K155" i="84"/>
  <c r="L154" i="84"/>
  <c r="K154" i="84"/>
  <c r="L153" i="84"/>
  <c r="K153" i="84"/>
  <c r="L152" i="84"/>
  <c r="K152" i="84"/>
  <c r="C151" i="84"/>
  <c r="D171" i="84"/>
  <c r="C10" i="22"/>
  <c r="B502" i="84"/>
  <c r="B497" i="84"/>
  <c r="B480" i="84"/>
  <c r="B475" i="84"/>
  <c r="B470" i="84"/>
  <c r="A501" i="84"/>
  <c r="A479" i="84"/>
  <c r="A474" i="84"/>
  <c r="A469" i="84"/>
  <c r="H502" i="84"/>
  <c r="H497" i="84"/>
  <c r="B547" i="84"/>
  <c r="B535" i="84"/>
  <c r="H475" i="84"/>
  <c r="B523" i="84"/>
  <c r="C470" i="84"/>
  <c r="C241" i="84"/>
  <c r="C237" i="84"/>
  <c r="C232" i="84"/>
  <c r="C228" i="84"/>
  <c r="C224" i="84"/>
  <c r="C207" i="84"/>
  <c r="C198" i="84"/>
  <c r="C193" i="84"/>
  <c r="C189" i="84"/>
  <c r="C186" i="84"/>
  <c r="N73" i="61"/>
  <c r="M73" i="61"/>
  <c r="L73" i="61"/>
  <c r="K73" i="61"/>
  <c r="J73" i="61"/>
  <c r="I73" i="61"/>
  <c r="H73" i="61"/>
  <c r="G73" i="61"/>
  <c r="F73" i="61"/>
  <c r="E73" i="61"/>
  <c r="N72" i="61"/>
  <c r="M72" i="61"/>
  <c r="L72" i="61"/>
  <c r="K72" i="61"/>
  <c r="J72" i="61"/>
  <c r="I72" i="61"/>
  <c r="H72" i="61"/>
  <c r="G72" i="61"/>
  <c r="F72" i="61"/>
  <c r="E72" i="61"/>
  <c r="N71" i="61"/>
  <c r="N78" i="61" s="1"/>
  <c r="M71" i="61"/>
  <c r="L71" i="61"/>
  <c r="L75" i="61" s="1"/>
  <c r="K71" i="61"/>
  <c r="K75" i="61" s="1"/>
  <c r="J71" i="61"/>
  <c r="J78" i="61" s="1"/>
  <c r="I71" i="61"/>
  <c r="H71" i="61"/>
  <c r="H75" i="61" s="1"/>
  <c r="G71" i="61"/>
  <c r="G75" i="61" s="1"/>
  <c r="F71" i="61"/>
  <c r="F78" i="61" s="1"/>
  <c r="E71" i="61"/>
  <c r="G62" i="57"/>
  <c r="G61" i="57"/>
  <c r="C15" i="22"/>
  <c r="C14" i="22"/>
  <c r="C12" i="22"/>
  <c r="C11" i="22"/>
  <c r="D8" i="22"/>
  <c r="E8" i="22" s="1"/>
  <c r="F8" i="22" s="1"/>
  <c r="G8" i="22" s="1"/>
  <c r="H8" i="22" s="1"/>
  <c r="I8" i="22" s="1"/>
  <c r="C7" i="22"/>
  <c r="C6" i="22"/>
  <c r="D6" i="22" s="1"/>
  <c r="C135" i="84"/>
  <c r="B447" i="84"/>
  <c r="B449" i="84" s="1"/>
  <c r="B454" i="84" s="1"/>
  <c r="C454" i="84" s="1"/>
  <c r="D454" i="84" s="1"/>
  <c r="E454" i="84" s="1"/>
  <c r="F454" i="84" s="1"/>
  <c r="G454" i="84" s="1"/>
  <c r="H454" i="84" s="1"/>
  <c r="C437" i="84"/>
  <c r="D143" i="84" s="1"/>
  <c r="C433" i="84"/>
  <c r="D432" i="84" s="1"/>
  <c r="I418" i="84"/>
  <c r="H418" i="84"/>
  <c r="G418" i="84"/>
  <c r="F418" i="84"/>
  <c r="E418" i="84"/>
  <c r="D418" i="84"/>
  <c r="C418" i="84"/>
  <c r="C412" i="84"/>
  <c r="C408" i="84"/>
  <c r="D407" i="84" s="1"/>
  <c r="C404" i="84"/>
  <c r="D403" i="84" s="1"/>
  <c r="D408" i="84"/>
  <c r="E407" i="84" s="1"/>
  <c r="E228" i="84"/>
  <c r="I224" i="84"/>
  <c r="I388" i="84"/>
  <c r="H388" i="84"/>
  <c r="G388" i="84"/>
  <c r="F388" i="84"/>
  <c r="E388" i="84"/>
  <c r="D388" i="84"/>
  <c r="C388" i="84"/>
  <c r="I382" i="84"/>
  <c r="H382" i="84"/>
  <c r="G382" i="84"/>
  <c r="F382" i="84"/>
  <c r="E382" i="84"/>
  <c r="D382" i="84"/>
  <c r="C382" i="84"/>
  <c r="I207" i="84"/>
  <c r="C317" i="84"/>
  <c r="D305" i="84"/>
  <c r="C297" i="84"/>
  <c r="C291" i="84"/>
  <c r="C283" i="84"/>
  <c r="D282" i="84" s="1"/>
  <c r="D283" i="84"/>
  <c r="E282" i="84" s="1"/>
  <c r="C251" i="84"/>
  <c r="B240" i="84"/>
  <c r="B417" i="84" s="1"/>
  <c r="B425" i="84" s="1"/>
  <c r="B431" i="84" s="1"/>
  <c r="B236" i="84"/>
  <c r="B411" i="84" s="1"/>
  <c r="B424" i="84" s="1"/>
  <c r="B427" i="84" s="1"/>
  <c r="B231" i="84"/>
  <c r="B387" i="84" s="1"/>
  <c r="B396" i="84" s="1"/>
  <c r="B227" i="84"/>
  <c r="B381" i="84" s="1"/>
  <c r="B402" i="84" s="1"/>
  <c r="B223" i="84"/>
  <c r="B394" i="84" s="1"/>
  <c r="B398" i="84" s="1"/>
  <c r="B206" i="84"/>
  <c r="B316" i="84" s="1"/>
  <c r="B330" i="84" s="1"/>
  <c r="B332" i="84" s="1"/>
  <c r="B192" i="84"/>
  <c r="B188" i="84"/>
  <c r="B256" i="84" s="1"/>
  <c r="B185" i="84"/>
  <c r="B250" i="84" s="1"/>
  <c r="C111" i="84"/>
  <c r="D111" i="84" s="1"/>
  <c r="B201" i="84"/>
  <c r="B296" i="84" s="1"/>
  <c r="B305" i="84" s="1"/>
  <c r="B197" i="84"/>
  <c r="B290" i="84" s="1"/>
  <c r="B269" i="84" l="1"/>
  <c r="B273" i="84" s="1"/>
  <c r="B284" i="84"/>
  <c r="B304" i="84"/>
  <c r="B307" i="84" s="1"/>
  <c r="B262" i="84"/>
  <c r="B281" i="84" s="1"/>
  <c r="B277" i="84"/>
  <c r="G161" i="85"/>
  <c r="G91" i="85"/>
  <c r="G269" i="84" s="1"/>
  <c r="G186" i="84" s="1"/>
  <c r="H186" i="85"/>
  <c r="F600" i="84"/>
  <c r="F271" i="84"/>
  <c r="G66" i="57"/>
  <c r="H598" i="84"/>
  <c r="G71" i="85"/>
  <c r="E545" i="84"/>
  <c r="E480" i="84" s="1"/>
  <c r="G110" i="85"/>
  <c r="F396" i="84"/>
  <c r="H93" i="85"/>
  <c r="G271" i="84"/>
  <c r="G98" i="85"/>
  <c r="F304" i="84"/>
  <c r="F198" i="84" s="1"/>
  <c r="G113" i="85"/>
  <c r="G424" i="84" s="1"/>
  <c r="G237" i="84" s="1"/>
  <c r="F424" i="84"/>
  <c r="F237" i="84" s="1"/>
  <c r="H92" i="85"/>
  <c r="G270" i="84"/>
  <c r="H109" i="85"/>
  <c r="G395" i="84"/>
  <c r="G114" i="85"/>
  <c r="G425" i="84" s="1"/>
  <c r="G24" i="85"/>
  <c r="E53" i="84"/>
  <c r="G25" i="85"/>
  <c r="E54" i="84"/>
  <c r="E78" i="61"/>
  <c r="I78" i="61"/>
  <c r="M78" i="61"/>
  <c r="C13" i="22"/>
  <c r="D13" i="22" s="1"/>
  <c r="B17" i="21"/>
  <c r="D241" i="84"/>
  <c r="D433" i="84"/>
  <c r="E432" i="84" s="1"/>
  <c r="E241" i="84"/>
  <c r="E433" i="84"/>
  <c r="F432" i="84" s="1"/>
  <c r="F3" i="22"/>
  <c r="F15" i="22" s="1"/>
  <c r="E7" i="22"/>
  <c r="D10" i="22"/>
  <c r="D12" i="22"/>
  <c r="E14" i="22"/>
  <c r="E10" i="22"/>
  <c r="E12" i="22"/>
  <c r="D14" i="22"/>
  <c r="E15" i="22"/>
  <c r="E6" i="22"/>
  <c r="E9" i="22"/>
  <c r="D11" i="22"/>
  <c r="D15" i="22"/>
  <c r="D7" i="22"/>
  <c r="E11" i="22"/>
  <c r="D153" i="84"/>
  <c r="F153" i="84"/>
  <c r="G153" i="84"/>
  <c r="E153" i="84"/>
  <c r="C497" i="84"/>
  <c r="E497" i="84"/>
  <c r="C475" i="84"/>
  <c r="C502" i="84"/>
  <c r="B586" i="84"/>
  <c r="D160" i="84" s="1"/>
  <c r="C480" i="84"/>
  <c r="D475" i="84"/>
  <c r="D480" i="84"/>
  <c r="D497" i="84"/>
  <c r="D502" i="84"/>
  <c r="E475" i="84"/>
  <c r="E502" i="84"/>
  <c r="F475" i="84"/>
  <c r="F497" i="84"/>
  <c r="F502" i="84"/>
  <c r="G475" i="84"/>
  <c r="G497" i="84"/>
  <c r="G502" i="84"/>
  <c r="D186" i="84"/>
  <c r="D207" i="84"/>
  <c r="H207" i="84"/>
  <c r="E237" i="84"/>
  <c r="D228" i="84"/>
  <c r="D189" i="84"/>
  <c r="D198" i="84"/>
  <c r="E207" i="84"/>
  <c r="D232" i="84"/>
  <c r="D193" i="84"/>
  <c r="F207" i="84"/>
  <c r="G207" i="84"/>
  <c r="D237" i="84"/>
  <c r="D224" i="84"/>
  <c r="F186" i="84"/>
  <c r="G224" i="84"/>
  <c r="H224" i="84"/>
  <c r="E186" i="84"/>
  <c r="E198" i="84"/>
  <c r="E224" i="84"/>
  <c r="F224" i="84"/>
  <c r="D470" i="84"/>
  <c r="F80" i="61"/>
  <c r="F82" i="61" s="1"/>
  <c r="J80" i="61"/>
  <c r="J82" i="61" s="1"/>
  <c r="N80" i="61"/>
  <c r="N82" i="61" s="1"/>
  <c r="E80" i="61"/>
  <c r="E82" i="61" s="1"/>
  <c r="I80" i="61"/>
  <c r="I82" i="61" s="1"/>
  <c r="M80" i="61"/>
  <c r="M82" i="61" s="1"/>
  <c r="E75" i="61"/>
  <c r="I75" i="61"/>
  <c r="M75" i="61"/>
  <c r="G78" i="61"/>
  <c r="K78" i="61"/>
  <c r="F75" i="61"/>
  <c r="J75" i="61"/>
  <c r="N75" i="61"/>
  <c r="H78" i="61"/>
  <c r="L78" i="61"/>
  <c r="C456" i="84"/>
  <c r="D456" i="84"/>
  <c r="E456" i="84"/>
  <c r="B456" i="84"/>
  <c r="F456" i="84"/>
  <c r="E305" i="84"/>
  <c r="B311" i="84"/>
  <c r="E404" i="84"/>
  <c r="F403" i="84" s="1"/>
  <c r="F228" i="84"/>
  <c r="D404" i="84"/>
  <c r="E403" i="84" s="1"/>
  <c r="B395" i="84"/>
  <c r="B406" i="84"/>
  <c r="E111" i="84"/>
  <c r="B52" i="84"/>
  <c r="B68" i="84" s="1"/>
  <c r="B271" i="84" l="1"/>
  <c r="B270" i="84"/>
  <c r="H153" i="84"/>
  <c r="H161" i="85"/>
  <c r="H91" i="85"/>
  <c r="I91" i="85" s="1"/>
  <c r="I186" i="85"/>
  <c r="G600" i="84"/>
  <c r="C17" i="22"/>
  <c r="C18" i="22" s="1"/>
  <c r="B39" i="21" s="1"/>
  <c r="I598" i="84"/>
  <c r="H71" i="85"/>
  <c r="F545" i="84"/>
  <c r="F480" i="84" s="1"/>
  <c r="H113" i="85"/>
  <c r="H424" i="84" s="1"/>
  <c r="H237" i="84" s="1"/>
  <c r="I92" i="85"/>
  <c r="H270" i="84"/>
  <c r="I93" i="85"/>
  <c r="H271" i="84"/>
  <c r="I109" i="85"/>
  <c r="H395" i="84"/>
  <c r="H98" i="85"/>
  <c r="G304" i="84"/>
  <c r="G198" i="84" s="1"/>
  <c r="H110" i="85"/>
  <c r="G396" i="84"/>
  <c r="G433" i="84"/>
  <c r="H432" i="84" s="1"/>
  <c r="H114" i="85"/>
  <c r="H425" i="84" s="1"/>
  <c r="H25" i="85"/>
  <c r="F54" i="84"/>
  <c r="F53" i="84"/>
  <c r="H24" i="85"/>
  <c r="E13" i="22"/>
  <c r="F241" i="84"/>
  <c r="F433" i="84"/>
  <c r="G432" i="84" s="1"/>
  <c r="F10" i="22"/>
  <c r="F14" i="22"/>
  <c r="F7" i="22"/>
  <c r="F11" i="22"/>
  <c r="F12" i="22"/>
  <c r="G3" i="22"/>
  <c r="F16" i="22"/>
  <c r="F6" i="22"/>
  <c r="F13" i="22"/>
  <c r="F9" i="22"/>
  <c r="G17" i="22"/>
  <c r="B72" i="84"/>
  <c r="B577" i="84" s="1"/>
  <c r="B71" i="84"/>
  <c r="B565" i="84" s="1"/>
  <c r="B70" i="84"/>
  <c r="B69" i="84"/>
  <c r="F305" i="84"/>
  <c r="E189" i="84"/>
  <c r="E283" i="84"/>
  <c r="F282" i="84" s="1"/>
  <c r="E193" i="84"/>
  <c r="F408" i="84"/>
  <c r="G407" i="84" s="1"/>
  <c r="E232" i="84"/>
  <c r="E470" i="84"/>
  <c r="K80" i="61"/>
  <c r="K82" i="61" s="1"/>
  <c r="G80" i="61"/>
  <c r="G82" i="61" s="1"/>
  <c r="H80" i="61"/>
  <c r="H82" i="61" s="1"/>
  <c r="L80" i="61"/>
  <c r="L82" i="61" s="1"/>
  <c r="G456" i="84"/>
  <c r="E408" i="84"/>
  <c r="F407" i="84" s="1"/>
  <c r="F404" i="84"/>
  <c r="G403" i="84" s="1"/>
  <c r="G228" i="84"/>
  <c r="C52" i="84"/>
  <c r="B57" i="84"/>
  <c r="C51" i="84"/>
  <c r="F111" i="84"/>
  <c r="B29" i="84" l="1"/>
  <c r="B529" i="84" s="1"/>
  <c r="B30" i="84"/>
  <c r="B541" i="84" s="1"/>
  <c r="J69" i="84"/>
  <c r="Q69" i="84" s="1"/>
  <c r="J68" i="84"/>
  <c r="J70" i="84"/>
  <c r="Q70" i="84" s="1"/>
  <c r="B82" i="84"/>
  <c r="J63" i="84" s="1"/>
  <c r="D17" i="22"/>
  <c r="D18" i="22" s="1"/>
  <c r="C39" i="21" s="1"/>
  <c r="I161" i="85"/>
  <c r="I153" i="84"/>
  <c r="F17" i="22"/>
  <c r="H269" i="84"/>
  <c r="H186" i="84" s="1"/>
  <c r="J16" i="83"/>
  <c r="B87" i="84"/>
  <c r="J64" i="84" s="1"/>
  <c r="H600" i="84"/>
  <c r="J186" i="85"/>
  <c r="I600" i="84" s="1"/>
  <c r="B63" i="84"/>
  <c r="B64" i="84"/>
  <c r="B62" i="84"/>
  <c r="J15" i="83"/>
  <c r="J18" i="83"/>
  <c r="E17" i="22"/>
  <c r="I71" i="85"/>
  <c r="G545" i="84"/>
  <c r="G480" i="84" s="1"/>
  <c r="I113" i="85"/>
  <c r="I424" i="84" s="1"/>
  <c r="I237" i="84" s="1"/>
  <c r="I110" i="85"/>
  <c r="H396" i="84"/>
  <c r="J91" i="85"/>
  <c r="K91" i="85" s="1"/>
  <c r="L91" i="85" s="1"/>
  <c r="I269" i="84"/>
  <c r="I186" i="84" s="1"/>
  <c r="J93" i="85"/>
  <c r="K93" i="85" s="1"/>
  <c r="L93" i="85" s="1"/>
  <c r="I271" i="84"/>
  <c r="I98" i="85"/>
  <c r="H304" i="84"/>
  <c r="H198" i="84" s="1"/>
  <c r="J109" i="85"/>
  <c r="K109" i="85" s="1"/>
  <c r="L109" i="85" s="1"/>
  <c r="I395" i="84"/>
  <c r="J92" i="85"/>
  <c r="K92" i="85" s="1"/>
  <c r="L92" i="85" s="1"/>
  <c r="I270" i="84"/>
  <c r="G241" i="84"/>
  <c r="I114" i="85"/>
  <c r="I425" i="84" s="1"/>
  <c r="H433" i="84"/>
  <c r="I432" i="84" s="1"/>
  <c r="I25" i="85"/>
  <c r="G54" i="84"/>
  <c r="I24" i="85"/>
  <c r="G53" i="84"/>
  <c r="H3" i="22"/>
  <c r="G15" i="22"/>
  <c r="G12" i="22"/>
  <c r="G16" i="22"/>
  <c r="G9" i="22"/>
  <c r="G13" i="22"/>
  <c r="G6" i="22"/>
  <c r="G11" i="22"/>
  <c r="G14" i="22"/>
  <c r="G7" i="22"/>
  <c r="G10" i="22"/>
  <c r="B88" i="84"/>
  <c r="C70" i="84"/>
  <c r="C69" i="84"/>
  <c r="C72" i="84"/>
  <c r="C577" i="84" s="1"/>
  <c r="C68" i="84"/>
  <c r="C71" i="84"/>
  <c r="C565" i="84" s="1"/>
  <c r="B102" i="84"/>
  <c r="C383" i="84" s="1"/>
  <c r="C384" i="84" s="1"/>
  <c r="C227" i="84" s="1"/>
  <c r="C229" i="84" s="1"/>
  <c r="B101" i="84"/>
  <c r="B103" i="84"/>
  <c r="C389" i="84" s="1"/>
  <c r="C390" i="84" s="1"/>
  <c r="C231" i="84" s="1"/>
  <c r="C233" i="84" s="1"/>
  <c r="B83" i="84"/>
  <c r="B81" i="84"/>
  <c r="B108" i="84"/>
  <c r="B107" i="84"/>
  <c r="C419" i="84" s="1"/>
  <c r="C420" i="84" s="1"/>
  <c r="C240" i="84" s="1"/>
  <c r="C242" i="84" s="1"/>
  <c r="B106" i="84"/>
  <c r="C413" i="84" s="1"/>
  <c r="G189" i="84"/>
  <c r="F189" i="84"/>
  <c r="G193" i="84"/>
  <c r="F193" i="84"/>
  <c r="F232" i="84"/>
  <c r="G305" i="84"/>
  <c r="F470" i="84"/>
  <c r="F283" i="84"/>
  <c r="G282" i="84" s="1"/>
  <c r="E18" i="22"/>
  <c r="H456" i="84"/>
  <c r="G404" i="84"/>
  <c r="H403" i="84" s="1"/>
  <c r="H228" i="84"/>
  <c r="D52" i="84"/>
  <c r="B118" i="84"/>
  <c r="B59" i="84"/>
  <c r="D135" i="84" s="1"/>
  <c r="B14" i="21" s="1"/>
  <c r="G111" i="84"/>
  <c r="D51" i="84"/>
  <c r="C57" i="84"/>
  <c r="I29" i="84" l="1"/>
  <c r="B44" i="84"/>
  <c r="I30" i="84"/>
  <c r="B45" i="84"/>
  <c r="C29" i="84"/>
  <c r="C30" i="84"/>
  <c r="C28" i="84"/>
  <c r="B65" i="84"/>
  <c r="C292" i="84"/>
  <c r="C294" i="84" s="1"/>
  <c r="L86" i="84"/>
  <c r="C298" i="84"/>
  <c r="C313" i="84" s="1"/>
  <c r="D312" i="84" s="1"/>
  <c r="K69" i="84"/>
  <c r="K70" i="84"/>
  <c r="K68" i="84"/>
  <c r="J153" i="84"/>
  <c r="C324" i="84"/>
  <c r="C338" i="84" s="1"/>
  <c r="D337" i="84" s="1"/>
  <c r="C87" i="84"/>
  <c r="C63" i="84"/>
  <c r="C62" i="84"/>
  <c r="C64" i="84"/>
  <c r="J71" i="85"/>
  <c r="K71" i="85" s="1"/>
  <c r="L71" i="85" s="1"/>
  <c r="H545" i="84"/>
  <c r="H480" i="84" s="1"/>
  <c r="J113" i="85"/>
  <c r="K113" i="85" s="1"/>
  <c r="L113" i="85" s="1"/>
  <c r="J98" i="85"/>
  <c r="K98" i="85" s="1"/>
  <c r="L98" i="85" s="1"/>
  <c r="I304" i="84"/>
  <c r="I198" i="84" s="1"/>
  <c r="J110" i="85"/>
  <c r="K110" i="85" s="1"/>
  <c r="L110" i="85" s="1"/>
  <c r="I396" i="84"/>
  <c r="H241" i="84"/>
  <c r="J114" i="85"/>
  <c r="K114" i="85" s="1"/>
  <c r="L114" i="85" s="1"/>
  <c r="I241" i="84"/>
  <c r="J24" i="85"/>
  <c r="K24" i="85" s="1"/>
  <c r="L24" i="85" s="1"/>
  <c r="H53" i="84"/>
  <c r="H54" i="84"/>
  <c r="J25" i="85"/>
  <c r="K25" i="85" s="1"/>
  <c r="L25" i="85" s="1"/>
  <c r="I3" i="22"/>
  <c r="H13" i="22"/>
  <c r="H9" i="22"/>
  <c r="H16" i="22"/>
  <c r="H6" i="22"/>
  <c r="H14" i="22"/>
  <c r="H12" i="22"/>
  <c r="H10" i="22"/>
  <c r="H15" i="22"/>
  <c r="H7" i="22"/>
  <c r="H11" i="22"/>
  <c r="H17" i="22"/>
  <c r="D39" i="21"/>
  <c r="C73" i="84"/>
  <c r="E154" i="84" s="1"/>
  <c r="G283" i="84"/>
  <c r="H282" i="84" s="1"/>
  <c r="H189" i="84"/>
  <c r="C76" i="84"/>
  <c r="M85" i="84" s="1"/>
  <c r="C77" i="84"/>
  <c r="C78" i="84"/>
  <c r="D264" i="84" s="1"/>
  <c r="D265" i="84" s="1"/>
  <c r="C108" i="84"/>
  <c r="C107" i="84"/>
  <c r="D419" i="84" s="1"/>
  <c r="D420" i="84" s="1"/>
  <c r="D240" i="84" s="1"/>
  <c r="D242" i="84" s="1"/>
  <c r="C106" i="84"/>
  <c r="D413" i="84" s="1"/>
  <c r="C82" i="84"/>
  <c r="C81" i="84"/>
  <c r="C83" i="84"/>
  <c r="C103" i="84"/>
  <c r="D389" i="84" s="1"/>
  <c r="D390" i="84" s="1"/>
  <c r="D231" i="84" s="1"/>
  <c r="D233" i="84" s="1"/>
  <c r="C101" i="84"/>
  <c r="C102" i="84"/>
  <c r="D383" i="84" s="1"/>
  <c r="D384" i="84" s="1"/>
  <c r="D227" i="84" s="1"/>
  <c r="D229" i="84" s="1"/>
  <c r="C86" i="84"/>
  <c r="M87" i="84" s="1"/>
  <c r="C88" i="84"/>
  <c r="H193" i="84"/>
  <c r="D72" i="84"/>
  <c r="D577" i="84" s="1"/>
  <c r="D70" i="84"/>
  <c r="D68" i="84"/>
  <c r="D71" i="84"/>
  <c r="D565" i="84" s="1"/>
  <c r="D69" i="84"/>
  <c r="H305" i="84"/>
  <c r="G232" i="84"/>
  <c r="G408" i="84"/>
  <c r="H407" i="84" s="1"/>
  <c r="G470" i="84"/>
  <c r="F18" i="22"/>
  <c r="C415" i="84"/>
  <c r="C414" i="84" s="1"/>
  <c r="C236" i="84" s="1"/>
  <c r="C223" i="84"/>
  <c r="C225" i="84" s="1"/>
  <c r="I228" i="84"/>
  <c r="H404" i="84"/>
  <c r="I403" i="84" s="1"/>
  <c r="C119" i="84"/>
  <c r="C578" i="84" s="1"/>
  <c r="E52" i="84"/>
  <c r="C118" i="84"/>
  <c r="C59" i="84"/>
  <c r="E135" i="84" s="1"/>
  <c r="E51" i="84"/>
  <c r="D57" i="84"/>
  <c r="H111" i="84"/>
  <c r="D575" i="84" l="1"/>
  <c r="C584" i="84"/>
  <c r="D583" i="84" s="1"/>
  <c r="C566" i="84"/>
  <c r="C43" i="84"/>
  <c r="C516" i="84"/>
  <c r="C517" i="84" s="1"/>
  <c r="C44" i="84"/>
  <c r="C529" i="84"/>
  <c r="C530" i="84" s="1"/>
  <c r="C45" i="84"/>
  <c r="C541" i="84"/>
  <c r="D28" i="84"/>
  <c r="D30" i="84"/>
  <c r="D29" i="84"/>
  <c r="C31" i="84"/>
  <c r="C553" i="84" s="1"/>
  <c r="D258" i="84"/>
  <c r="D259" i="84" s="1"/>
  <c r="C238" i="84"/>
  <c r="C120" i="84"/>
  <c r="D192" i="84"/>
  <c r="D194" i="84" s="1"/>
  <c r="D291" i="84"/>
  <c r="C65" i="84"/>
  <c r="C95" i="84" s="1"/>
  <c r="C98" i="84" s="1"/>
  <c r="D297" i="84"/>
  <c r="D292" i="84"/>
  <c r="M86" i="84"/>
  <c r="D323" i="84"/>
  <c r="C325" i="84"/>
  <c r="C210" i="84" s="1"/>
  <c r="C212" i="84" s="1"/>
  <c r="C299" i="84"/>
  <c r="C201" i="84" s="1"/>
  <c r="C203" i="84" s="1"/>
  <c r="L68" i="84"/>
  <c r="L69" i="84"/>
  <c r="L70" i="84"/>
  <c r="D298" i="84"/>
  <c r="D324" i="84"/>
  <c r="C279" i="84"/>
  <c r="D278" i="84" s="1"/>
  <c r="D87" i="84"/>
  <c r="D64" i="84"/>
  <c r="D63" i="84"/>
  <c r="D62" i="84"/>
  <c r="I433" i="84"/>
  <c r="I16" i="22"/>
  <c r="I9" i="22"/>
  <c r="I15" i="22"/>
  <c r="I12" i="22"/>
  <c r="I14" i="22"/>
  <c r="I10" i="22"/>
  <c r="I7" i="22"/>
  <c r="I6" i="22"/>
  <c r="I13" i="22"/>
  <c r="I11" i="22"/>
  <c r="I17" i="22"/>
  <c r="E39" i="21"/>
  <c r="I189" i="84"/>
  <c r="D73" i="84"/>
  <c r="F154" i="84" s="1"/>
  <c r="I193" i="84"/>
  <c r="C542" i="84"/>
  <c r="H283" i="84"/>
  <c r="I282" i="84" s="1"/>
  <c r="I305" i="84"/>
  <c r="D77" i="84"/>
  <c r="D78" i="84"/>
  <c r="E264" i="84" s="1"/>
  <c r="E265" i="84" s="1"/>
  <c r="D76" i="84"/>
  <c r="N85" i="84" s="1"/>
  <c r="D86" i="84"/>
  <c r="N87" i="84" s="1"/>
  <c r="D88" i="84"/>
  <c r="D103" i="84"/>
  <c r="E389" i="84" s="1"/>
  <c r="E390" i="84" s="1"/>
  <c r="E231" i="84" s="1"/>
  <c r="E233" i="84" s="1"/>
  <c r="D101" i="84"/>
  <c r="D102" i="84"/>
  <c r="E383" i="84" s="1"/>
  <c r="E384" i="84" s="1"/>
  <c r="E227" i="84" s="1"/>
  <c r="E229" i="84" s="1"/>
  <c r="H232" i="84"/>
  <c r="H408" i="84"/>
  <c r="I407" i="84" s="1"/>
  <c r="E72" i="84"/>
  <c r="E577" i="84" s="1"/>
  <c r="E70" i="84"/>
  <c r="E68" i="84"/>
  <c r="E71" i="84"/>
  <c r="E565" i="84" s="1"/>
  <c r="E69" i="84"/>
  <c r="D83" i="84"/>
  <c r="D82" i="84"/>
  <c r="D81" i="84"/>
  <c r="D107" i="84"/>
  <c r="E419" i="84" s="1"/>
  <c r="E420" i="84" s="1"/>
  <c r="E240" i="84" s="1"/>
  <c r="E242" i="84" s="1"/>
  <c r="D108" i="84"/>
  <c r="D106" i="84"/>
  <c r="E413" i="84" s="1"/>
  <c r="H470" i="84"/>
  <c r="G18" i="22"/>
  <c r="C400" i="84"/>
  <c r="D399" i="84" s="1"/>
  <c r="D223" i="84"/>
  <c r="D225" i="84" s="1"/>
  <c r="D412" i="84"/>
  <c r="D415" i="84" s="1"/>
  <c r="D414" i="84" s="1"/>
  <c r="D236" i="84" s="1"/>
  <c r="C429" i="84"/>
  <c r="D428" i="84" s="1"/>
  <c r="D252" i="84"/>
  <c r="I404" i="84"/>
  <c r="C122" i="84"/>
  <c r="D119" i="84"/>
  <c r="D578" i="84" s="1"/>
  <c r="F52" i="84"/>
  <c r="D59" i="84"/>
  <c r="F135" i="84" s="1"/>
  <c r="D118" i="84"/>
  <c r="F51" i="84"/>
  <c r="E57" i="84"/>
  <c r="E575" i="84" l="1"/>
  <c r="D584" i="84"/>
  <c r="E583" i="84" s="1"/>
  <c r="D566" i="84"/>
  <c r="D563" i="84"/>
  <c r="C572" i="84"/>
  <c r="D571" i="84" s="1"/>
  <c r="D576" i="84"/>
  <c r="E258" i="84"/>
  <c r="E259" i="84" s="1"/>
  <c r="D44" i="84"/>
  <c r="D529" i="84"/>
  <c r="D43" i="84"/>
  <c r="D516" i="84"/>
  <c r="D517" i="84" s="1"/>
  <c r="D524" i="84" s="1"/>
  <c r="D45" i="84"/>
  <c r="D541" i="84"/>
  <c r="D542" i="84" s="1"/>
  <c r="C554" i="84"/>
  <c r="E30" i="84"/>
  <c r="E29" i="84"/>
  <c r="D31" i="84"/>
  <c r="D553" i="84" s="1"/>
  <c r="D554" i="84" s="1"/>
  <c r="E28" i="84"/>
  <c r="E516" i="84" s="1"/>
  <c r="C38" i="84"/>
  <c r="C39" i="84"/>
  <c r="D238" i="84"/>
  <c r="D294" i="84"/>
  <c r="E291" i="84" s="1"/>
  <c r="D343" i="84"/>
  <c r="E192" i="84"/>
  <c r="E194" i="84" s="1"/>
  <c r="C309" i="84"/>
  <c r="C293" i="84"/>
  <c r="C197" i="84" s="1"/>
  <c r="C199" i="84" s="1"/>
  <c r="C92" i="84"/>
  <c r="C124" i="84"/>
  <c r="C126" i="84" s="1"/>
  <c r="D120" i="84"/>
  <c r="C97" i="84"/>
  <c r="C489" i="84" s="1"/>
  <c r="C492" i="84" s="1"/>
  <c r="C96" i="84"/>
  <c r="C37" i="84" s="1"/>
  <c r="D65" i="84"/>
  <c r="D95" i="84" s="1"/>
  <c r="D98" i="84" s="1"/>
  <c r="E297" i="84"/>
  <c r="D338" i="84"/>
  <c r="E337" i="84" s="1"/>
  <c r="E292" i="84"/>
  <c r="N86" i="84"/>
  <c r="D594" i="84"/>
  <c r="D596" i="84" s="1"/>
  <c r="E150" i="84"/>
  <c r="M70" i="84"/>
  <c r="M68" i="84"/>
  <c r="M69" i="84"/>
  <c r="E298" i="84"/>
  <c r="E324" i="84"/>
  <c r="E87" i="84"/>
  <c r="E63" i="84"/>
  <c r="E62" i="84"/>
  <c r="E64" i="84"/>
  <c r="I283" i="84"/>
  <c r="F39" i="21"/>
  <c r="E151" i="84"/>
  <c r="E73" i="84"/>
  <c r="G154" i="84" s="1"/>
  <c r="E152" i="84"/>
  <c r="E157" i="84"/>
  <c r="E155" i="84"/>
  <c r="D501" i="84"/>
  <c r="D504" i="84" s="1"/>
  <c r="D530" i="84"/>
  <c r="D527" i="84"/>
  <c r="C536" i="84"/>
  <c r="D535" i="84" s="1"/>
  <c r="C548" i="84"/>
  <c r="D547" i="84" s="1"/>
  <c r="D539" i="84"/>
  <c r="C524" i="84"/>
  <c r="D514" i="84"/>
  <c r="E81" i="84"/>
  <c r="E83" i="84"/>
  <c r="E82" i="84"/>
  <c r="E102" i="84"/>
  <c r="F383" i="84" s="1"/>
  <c r="F384" i="84" s="1"/>
  <c r="F227" i="84" s="1"/>
  <c r="F229" i="84" s="1"/>
  <c r="E103" i="84"/>
  <c r="F389" i="84" s="1"/>
  <c r="F390" i="84" s="1"/>
  <c r="F231" i="84" s="1"/>
  <c r="F233" i="84" s="1"/>
  <c r="E101" i="84"/>
  <c r="E86" i="84"/>
  <c r="O87" i="84" s="1"/>
  <c r="E88" i="84"/>
  <c r="E107" i="84"/>
  <c r="F419" i="84" s="1"/>
  <c r="F420" i="84" s="1"/>
  <c r="F240" i="84" s="1"/>
  <c r="F242" i="84" s="1"/>
  <c r="E108" i="84"/>
  <c r="E106" i="84"/>
  <c r="F413" i="84" s="1"/>
  <c r="F71" i="84"/>
  <c r="F565" i="84" s="1"/>
  <c r="F69" i="84"/>
  <c r="F72" i="84"/>
  <c r="F577" i="84" s="1"/>
  <c r="F70" i="84"/>
  <c r="F68" i="84"/>
  <c r="E78" i="84"/>
  <c r="F264" i="84" s="1"/>
  <c r="F265" i="84" s="1"/>
  <c r="E77" i="84"/>
  <c r="E76" i="84"/>
  <c r="O85" i="84" s="1"/>
  <c r="I232" i="84"/>
  <c r="I408" i="84"/>
  <c r="H18" i="22"/>
  <c r="E252" i="84"/>
  <c r="D429" i="84"/>
  <c r="E428" i="84" s="1"/>
  <c r="E412" i="84"/>
  <c r="E415" i="84" s="1"/>
  <c r="D400" i="84"/>
  <c r="E399" i="84" s="1"/>
  <c r="D122" i="84"/>
  <c r="E119" i="84"/>
  <c r="E566" i="84" s="1"/>
  <c r="G52" i="84"/>
  <c r="F57" i="84"/>
  <c r="G51" i="84"/>
  <c r="E59" i="84"/>
  <c r="G135" i="84" s="1"/>
  <c r="E118" i="84"/>
  <c r="D564" i="84" l="1"/>
  <c r="F563" i="84"/>
  <c r="E572" i="84"/>
  <c r="F571" i="84" s="1"/>
  <c r="E578" i="84"/>
  <c r="E576" i="84" s="1"/>
  <c r="D572" i="84"/>
  <c r="E571" i="84" s="1"/>
  <c r="E563" i="84"/>
  <c r="E564" i="84" s="1"/>
  <c r="E44" i="84"/>
  <c r="E529" i="84"/>
  <c r="C560" i="84"/>
  <c r="D559" i="84" s="1"/>
  <c r="D551" i="84"/>
  <c r="D552" i="84" s="1"/>
  <c r="D484" i="84" s="1"/>
  <c r="E45" i="84"/>
  <c r="E541" i="84"/>
  <c r="D560" i="84"/>
  <c r="E559" i="84" s="1"/>
  <c r="E551" i="84"/>
  <c r="E31" i="84"/>
  <c r="E553" i="84" s="1"/>
  <c r="E43" i="84"/>
  <c r="F29" i="84"/>
  <c r="F28" i="84"/>
  <c r="E38" i="84"/>
  <c r="F30" i="84"/>
  <c r="C36" i="84"/>
  <c r="D360" i="84" s="1"/>
  <c r="D38" i="84"/>
  <c r="D39" i="84"/>
  <c r="E294" i="84"/>
  <c r="E309" i="84" s="1"/>
  <c r="F258" i="84"/>
  <c r="F259" i="84" s="1"/>
  <c r="D309" i="84"/>
  <c r="E308" i="84" s="1"/>
  <c r="D308" i="84"/>
  <c r="E343" i="84"/>
  <c r="F192" i="84"/>
  <c r="F194" i="84" s="1"/>
  <c r="E279" i="84"/>
  <c r="F278" i="84" s="1"/>
  <c r="D293" i="84"/>
  <c r="D197" i="84" s="1"/>
  <c r="D199" i="84" s="1"/>
  <c r="D313" i="84"/>
  <c r="E312" i="84" s="1"/>
  <c r="D92" i="84"/>
  <c r="D124" i="84"/>
  <c r="D126" i="84" s="1"/>
  <c r="E120" i="84"/>
  <c r="E514" i="84"/>
  <c r="D97" i="84"/>
  <c r="D489" i="84" s="1"/>
  <c r="D492" i="84" s="1"/>
  <c r="D96" i="84"/>
  <c r="D37" i="84" s="1"/>
  <c r="D599" i="84"/>
  <c r="E323" i="84"/>
  <c r="E65" i="84"/>
  <c r="E95" i="84" s="1"/>
  <c r="E98" i="84" s="1"/>
  <c r="D325" i="84"/>
  <c r="D210" i="84" s="1"/>
  <c r="D212" i="84" s="1"/>
  <c r="D299" i="84"/>
  <c r="D201" i="84" s="1"/>
  <c r="D203" i="84" s="1"/>
  <c r="F292" i="84"/>
  <c r="O86" i="84"/>
  <c r="D279" i="84"/>
  <c r="E278" i="84" s="1"/>
  <c r="D188" i="84"/>
  <c r="N69" i="84"/>
  <c r="N70" i="84"/>
  <c r="N68" i="84"/>
  <c r="E594" i="84"/>
  <c r="E596" i="84" s="1"/>
  <c r="F150" i="84"/>
  <c r="E299" i="84"/>
  <c r="E201" i="84" s="1"/>
  <c r="E203" i="84" s="1"/>
  <c r="F298" i="84"/>
  <c r="F324" i="84"/>
  <c r="F87" i="84"/>
  <c r="F63" i="84"/>
  <c r="F64" i="84"/>
  <c r="F62" i="84"/>
  <c r="G39" i="21"/>
  <c r="D515" i="84"/>
  <c r="D469" i="84" s="1"/>
  <c r="D472" i="84" s="1"/>
  <c r="F151" i="84"/>
  <c r="D528" i="84"/>
  <c r="D474" i="84" s="1"/>
  <c r="D477" i="84" s="1"/>
  <c r="F73" i="84"/>
  <c r="H154" i="84" s="1"/>
  <c r="F152" i="84"/>
  <c r="F157" i="84"/>
  <c r="F155" i="84"/>
  <c r="D496" i="84"/>
  <c r="D499" i="84" s="1"/>
  <c r="E539" i="84"/>
  <c r="D548" i="84"/>
  <c r="E547" i="84" s="1"/>
  <c r="E542" i="84"/>
  <c r="E527" i="84"/>
  <c r="D536" i="84"/>
  <c r="E535" i="84" s="1"/>
  <c r="E517" i="84"/>
  <c r="E524" i="84" s="1"/>
  <c r="D540" i="84"/>
  <c r="D479" i="84" s="1"/>
  <c r="D482" i="84" s="1"/>
  <c r="E530" i="84"/>
  <c r="E496" i="84"/>
  <c r="E499" i="84" s="1"/>
  <c r="D523" i="84"/>
  <c r="E523" i="84"/>
  <c r="F82" i="84"/>
  <c r="F81" i="84"/>
  <c r="G292" i="84" s="1"/>
  <c r="F83" i="84"/>
  <c r="G71" i="84"/>
  <c r="G565" i="84" s="1"/>
  <c r="G69" i="84"/>
  <c r="G72" i="84"/>
  <c r="G577" i="84" s="1"/>
  <c r="G70" i="84"/>
  <c r="G68" i="84"/>
  <c r="F78" i="84"/>
  <c r="G264" i="84" s="1"/>
  <c r="G265" i="84" s="1"/>
  <c r="F76" i="84"/>
  <c r="F77" i="84"/>
  <c r="F102" i="84"/>
  <c r="G383" i="84" s="1"/>
  <c r="G384" i="84" s="1"/>
  <c r="G227" i="84" s="1"/>
  <c r="G229" i="84" s="1"/>
  <c r="F103" i="84"/>
  <c r="G389" i="84" s="1"/>
  <c r="G390" i="84" s="1"/>
  <c r="G231" i="84" s="1"/>
  <c r="G233" i="84" s="1"/>
  <c r="F101" i="84"/>
  <c r="F108" i="84"/>
  <c r="F106" i="84"/>
  <c r="G413" i="84" s="1"/>
  <c r="F107" i="84"/>
  <c r="G419" i="84" s="1"/>
  <c r="G420" i="84" s="1"/>
  <c r="G240" i="84" s="1"/>
  <c r="G242" i="84" s="1"/>
  <c r="F88" i="84"/>
  <c r="F86" i="84"/>
  <c r="I18" i="22"/>
  <c r="E223" i="84"/>
  <c r="E225" i="84" s="1"/>
  <c r="E400" i="84"/>
  <c r="F399" i="84" s="1"/>
  <c r="E414" i="84"/>
  <c r="E236" i="84" s="1"/>
  <c r="F412" i="84"/>
  <c r="F415" i="84" s="1"/>
  <c r="E429" i="84"/>
  <c r="F428" i="84" s="1"/>
  <c r="F252" i="84"/>
  <c r="E122" i="84"/>
  <c r="F119" i="84"/>
  <c r="F578" i="84" s="1"/>
  <c r="H52" i="84"/>
  <c r="G57" i="84"/>
  <c r="H51" i="84"/>
  <c r="F118" i="84"/>
  <c r="F59" i="84"/>
  <c r="H135" i="84" s="1"/>
  <c r="G575" i="84" l="1"/>
  <c r="F584" i="84"/>
  <c r="G583" i="84" s="1"/>
  <c r="F566" i="84"/>
  <c r="F564" i="84" s="1"/>
  <c r="F496" i="84" s="1"/>
  <c r="F499" i="84" s="1"/>
  <c r="F575" i="84"/>
  <c r="F576" i="84" s="1"/>
  <c r="E584" i="84"/>
  <c r="F583" i="84" s="1"/>
  <c r="C587" i="84"/>
  <c r="E161" i="84" s="1"/>
  <c r="E39" i="84"/>
  <c r="F45" i="84"/>
  <c r="F541" i="84"/>
  <c r="F542" i="84" s="1"/>
  <c r="F43" i="84"/>
  <c r="F516" i="84"/>
  <c r="F517" i="84" s="1"/>
  <c r="F524" i="84" s="1"/>
  <c r="F44" i="84"/>
  <c r="F529" i="84"/>
  <c r="F530" i="84" s="1"/>
  <c r="E554" i="84"/>
  <c r="E552" i="84" s="1"/>
  <c r="E484" i="84" s="1"/>
  <c r="F31" i="84"/>
  <c r="F553" i="84" s="1"/>
  <c r="D36" i="84"/>
  <c r="E360" i="84" s="1"/>
  <c r="G29" i="84"/>
  <c r="G28" i="84"/>
  <c r="G30" i="84"/>
  <c r="E238" i="84"/>
  <c r="G258" i="84"/>
  <c r="G259" i="84" s="1"/>
  <c r="D587" i="84"/>
  <c r="F161" i="84" s="1"/>
  <c r="D487" i="84"/>
  <c r="D506" i="84" s="1"/>
  <c r="F149" i="84" s="1"/>
  <c r="F308" i="84"/>
  <c r="E293" i="84"/>
  <c r="E197" i="84" s="1"/>
  <c r="E199" i="84" s="1"/>
  <c r="G192" i="84"/>
  <c r="G194" i="84" s="1"/>
  <c r="F343" i="84"/>
  <c r="D190" i="84"/>
  <c r="F120" i="84"/>
  <c r="E92" i="84"/>
  <c r="E124" i="84"/>
  <c r="E126" i="84" s="1"/>
  <c r="F291" i="84"/>
  <c r="F294" i="84" s="1"/>
  <c r="E96" i="84"/>
  <c r="E37" i="84" s="1"/>
  <c r="E36" i="84" s="1"/>
  <c r="E97" i="84"/>
  <c r="E489" i="84" s="1"/>
  <c r="E492" i="84" s="1"/>
  <c r="F65" i="84"/>
  <c r="F95" i="84" s="1"/>
  <c r="F98" i="84" s="1"/>
  <c r="E599" i="84"/>
  <c r="E188" i="84"/>
  <c r="F297" i="84"/>
  <c r="F299" i="84" s="1"/>
  <c r="F201" i="84" s="1"/>
  <c r="F203" i="84" s="1"/>
  <c r="F594" i="84"/>
  <c r="F599" i="84" s="1"/>
  <c r="G150" i="84"/>
  <c r="O69" i="84"/>
  <c r="O70" i="84"/>
  <c r="O68" i="84"/>
  <c r="G324" i="84"/>
  <c r="F323" i="84"/>
  <c r="E338" i="84"/>
  <c r="F337" i="84" s="1"/>
  <c r="E313" i="84"/>
  <c r="F312" i="84" s="1"/>
  <c r="E325" i="84"/>
  <c r="E210" i="84" s="1"/>
  <c r="E212" i="84" s="1"/>
  <c r="G298" i="84"/>
  <c r="G87" i="84"/>
  <c r="G63" i="84"/>
  <c r="G62" i="84"/>
  <c r="G64" i="84"/>
  <c r="H39" i="21"/>
  <c r="G151" i="84"/>
  <c r="G73" i="84"/>
  <c r="I154" i="84" s="1"/>
  <c r="G152" i="84"/>
  <c r="G157" i="84"/>
  <c r="G155" i="84"/>
  <c r="F514" i="84"/>
  <c r="E515" i="84"/>
  <c r="E469" i="84" s="1"/>
  <c r="E472" i="84" s="1"/>
  <c r="D586" i="84"/>
  <c r="F160" i="84" s="1"/>
  <c r="E548" i="84"/>
  <c r="F547" i="84" s="1"/>
  <c r="F539" i="84"/>
  <c r="E540" i="84"/>
  <c r="E479" i="84" s="1"/>
  <c r="E482" i="84" s="1"/>
  <c r="E536" i="84"/>
  <c r="F535" i="84" s="1"/>
  <c r="F527" i="84"/>
  <c r="E528" i="84"/>
  <c r="E474" i="84" s="1"/>
  <c r="E477" i="84" s="1"/>
  <c r="E501" i="84"/>
  <c r="E504" i="84" s="1"/>
  <c r="F523" i="84"/>
  <c r="G88" i="84"/>
  <c r="G86" i="84"/>
  <c r="G108" i="84"/>
  <c r="G106" i="84"/>
  <c r="H413" i="84" s="1"/>
  <c r="G107" i="84"/>
  <c r="H419" i="84" s="1"/>
  <c r="H420" i="84" s="1"/>
  <c r="H240" i="84" s="1"/>
  <c r="H242" i="84" s="1"/>
  <c r="G83" i="84"/>
  <c r="G82" i="84"/>
  <c r="G81" i="84"/>
  <c r="H292" i="84" s="1"/>
  <c r="H72" i="84"/>
  <c r="H577" i="84" s="1"/>
  <c r="H70" i="84"/>
  <c r="H68" i="84"/>
  <c r="H71" i="84"/>
  <c r="H565" i="84" s="1"/>
  <c r="H69" i="84"/>
  <c r="G76" i="84"/>
  <c r="G77" i="84"/>
  <c r="G78" i="84"/>
  <c r="H264" i="84" s="1"/>
  <c r="H265" i="84" s="1"/>
  <c r="G103" i="84"/>
  <c r="H389" i="84" s="1"/>
  <c r="H390" i="84" s="1"/>
  <c r="H231" i="84" s="1"/>
  <c r="H233" i="84" s="1"/>
  <c r="G101" i="84"/>
  <c r="G102" i="84"/>
  <c r="H383" i="84" s="1"/>
  <c r="H384" i="84" s="1"/>
  <c r="H227" i="84" s="1"/>
  <c r="H229" i="84" s="1"/>
  <c r="F223" i="84"/>
  <c r="F225" i="84" s="1"/>
  <c r="G223" i="84"/>
  <c r="G225" i="84" s="1"/>
  <c r="F400" i="84"/>
  <c r="G399" i="84" s="1"/>
  <c r="F414" i="84"/>
  <c r="F236" i="84" s="1"/>
  <c r="G412" i="84"/>
  <c r="G415" i="84" s="1"/>
  <c r="F429" i="84"/>
  <c r="G428" i="84" s="1"/>
  <c r="G252" i="84"/>
  <c r="G119" i="84"/>
  <c r="G566" i="84" s="1"/>
  <c r="F122" i="84"/>
  <c r="H57" i="84"/>
  <c r="G118" i="84"/>
  <c r="G59" i="84"/>
  <c r="I135" i="84" s="1"/>
  <c r="H563" i="84" l="1"/>
  <c r="G572" i="84"/>
  <c r="H571" i="84" s="1"/>
  <c r="G578" i="84"/>
  <c r="G576" i="84" s="1"/>
  <c r="G563" i="84"/>
  <c r="G564" i="84" s="1"/>
  <c r="F572" i="84"/>
  <c r="G571" i="84" s="1"/>
  <c r="G45" i="84"/>
  <c r="G541" i="84"/>
  <c r="G44" i="84"/>
  <c r="G529" i="84"/>
  <c r="G530" i="84" s="1"/>
  <c r="F551" i="84"/>
  <c r="E560" i="84"/>
  <c r="F559" i="84" s="1"/>
  <c r="G43" i="84"/>
  <c r="G516" i="84"/>
  <c r="G517" i="84" s="1"/>
  <c r="H514" i="84" s="1"/>
  <c r="F554" i="84"/>
  <c r="F552" i="84" s="1"/>
  <c r="F484" i="84" s="1"/>
  <c r="H29" i="84"/>
  <c r="H28" i="84"/>
  <c r="H516" i="84" s="1"/>
  <c r="H30" i="84"/>
  <c r="G31" i="84"/>
  <c r="G553" i="84" s="1"/>
  <c r="F39" i="84"/>
  <c r="F38" i="84"/>
  <c r="F360" i="84"/>
  <c r="F238" i="84"/>
  <c r="H258" i="84"/>
  <c r="H259" i="84" s="1"/>
  <c r="E587" i="84"/>
  <c r="G161" i="84" s="1"/>
  <c r="E487" i="84"/>
  <c r="E506" i="84" s="1"/>
  <c r="G149" i="84" s="1"/>
  <c r="H192" i="84"/>
  <c r="H194" i="84" s="1"/>
  <c r="G343" i="84"/>
  <c r="E190" i="84"/>
  <c r="F293" i="84"/>
  <c r="F197" i="84" s="1"/>
  <c r="F199" i="84" s="1"/>
  <c r="F188" i="84"/>
  <c r="F92" i="84"/>
  <c r="F124" i="84"/>
  <c r="F126" i="84" s="1"/>
  <c r="G120" i="84"/>
  <c r="F96" i="84"/>
  <c r="F37" i="84" s="1"/>
  <c r="F97" i="84"/>
  <c r="F489" i="84" s="1"/>
  <c r="F492" i="84" s="1"/>
  <c r="G65" i="84"/>
  <c r="G95" i="84" s="1"/>
  <c r="G98" i="84" s="1"/>
  <c r="G297" i="84"/>
  <c r="G299" i="84" s="1"/>
  <c r="G201" i="84" s="1"/>
  <c r="G203" i="84" s="1"/>
  <c r="F313" i="84"/>
  <c r="G312" i="84" s="1"/>
  <c r="F596" i="84"/>
  <c r="G323" i="84"/>
  <c r="F338" i="84"/>
  <c r="G337" i="84" s="1"/>
  <c r="P70" i="84"/>
  <c r="P68" i="84"/>
  <c r="P69" i="84"/>
  <c r="G594" i="84"/>
  <c r="G599" i="84" s="1"/>
  <c r="H150" i="84"/>
  <c r="G514" i="84"/>
  <c r="F325" i="84"/>
  <c r="F210" i="84" s="1"/>
  <c r="F212" i="84" s="1"/>
  <c r="H324" i="84"/>
  <c r="H298" i="84"/>
  <c r="H87" i="84"/>
  <c r="F515" i="84"/>
  <c r="F469" i="84" s="1"/>
  <c r="F472" i="84" s="1"/>
  <c r="H64" i="84"/>
  <c r="H63" i="84"/>
  <c r="H62" i="84"/>
  <c r="H151" i="84"/>
  <c r="H73" i="84"/>
  <c r="J154" i="84" s="1"/>
  <c r="H152" i="84"/>
  <c r="H157" i="84"/>
  <c r="H155" i="84"/>
  <c r="E586" i="84"/>
  <c r="G160" i="84" s="1"/>
  <c r="F501" i="84"/>
  <c r="F504" i="84" s="1"/>
  <c r="F528" i="84"/>
  <c r="F474" i="84" s="1"/>
  <c r="F477" i="84" s="1"/>
  <c r="F548" i="84"/>
  <c r="G547" i="84" s="1"/>
  <c r="G539" i="84"/>
  <c r="G527" i="84"/>
  <c r="F536" i="84"/>
  <c r="G535" i="84" s="1"/>
  <c r="G542" i="84"/>
  <c r="F540" i="84"/>
  <c r="F479" i="84" s="1"/>
  <c r="F482" i="84" s="1"/>
  <c r="G523" i="84"/>
  <c r="H103" i="84"/>
  <c r="I389" i="84" s="1"/>
  <c r="I390" i="84" s="1"/>
  <c r="I231" i="84" s="1"/>
  <c r="I233" i="84" s="1"/>
  <c r="H101" i="84"/>
  <c r="H102" i="84"/>
  <c r="I383" i="84" s="1"/>
  <c r="I384" i="84" s="1"/>
  <c r="I227" i="84" s="1"/>
  <c r="I229" i="84" s="1"/>
  <c r="H77" i="84"/>
  <c r="H76" i="84"/>
  <c r="H78" i="84"/>
  <c r="I264" i="84" s="1"/>
  <c r="I265" i="84" s="1"/>
  <c r="H86" i="84"/>
  <c r="H88" i="84"/>
  <c r="H83" i="84"/>
  <c r="H82" i="84"/>
  <c r="H81" i="84"/>
  <c r="I292" i="84" s="1"/>
  <c r="H107" i="84"/>
  <c r="I419" i="84" s="1"/>
  <c r="I420" i="84" s="1"/>
  <c r="I240" i="84" s="1"/>
  <c r="I242" i="84" s="1"/>
  <c r="H108" i="84"/>
  <c r="H106" i="84"/>
  <c r="I413" i="84" s="1"/>
  <c r="G400" i="84"/>
  <c r="H399" i="84" s="1"/>
  <c r="H223" i="84"/>
  <c r="H225" i="84" s="1"/>
  <c r="G414" i="84"/>
  <c r="G236" i="84" s="1"/>
  <c r="H412" i="84"/>
  <c r="H415" i="84" s="1"/>
  <c r="G429" i="84"/>
  <c r="H428" i="84" s="1"/>
  <c r="H252" i="84"/>
  <c r="G122" i="84"/>
  <c r="H119" i="84"/>
  <c r="H566" i="84" s="1"/>
  <c r="H572" i="84" s="1"/>
  <c r="H59" i="84"/>
  <c r="J135" i="84" s="1"/>
  <c r="H118" i="84"/>
  <c r="H578" i="84" l="1"/>
  <c r="H584" i="84" s="1"/>
  <c r="G584" i="84"/>
  <c r="H583" i="84" s="1"/>
  <c r="H575" i="84"/>
  <c r="H564" i="84"/>
  <c r="H45" i="84"/>
  <c r="H541" i="84"/>
  <c r="H542" i="84" s="1"/>
  <c r="H548" i="84" s="1"/>
  <c r="H44" i="84"/>
  <c r="H529" i="84"/>
  <c r="H530" i="84" s="1"/>
  <c r="H536" i="84" s="1"/>
  <c r="G554" i="84"/>
  <c r="F560" i="84"/>
  <c r="G559" i="84" s="1"/>
  <c r="G551" i="84"/>
  <c r="H31" i="84"/>
  <c r="H553" i="84" s="1"/>
  <c r="H43" i="84"/>
  <c r="F36" i="84"/>
  <c r="G360" i="84" s="1"/>
  <c r="G38" i="84"/>
  <c r="G39" i="84"/>
  <c r="G238" i="84"/>
  <c r="I258" i="84"/>
  <c r="I259" i="84" s="1"/>
  <c r="F487" i="84"/>
  <c r="F506" i="84" s="1"/>
  <c r="H149" i="84" s="1"/>
  <c r="I192" i="84"/>
  <c r="I194" i="84" s="1"/>
  <c r="H343" i="84"/>
  <c r="F190" i="84"/>
  <c r="G291" i="84"/>
  <c r="G294" i="84" s="1"/>
  <c r="F309" i="84"/>
  <c r="F279" i="84"/>
  <c r="G278" i="84" s="1"/>
  <c r="G92" i="84"/>
  <c r="G124" i="84"/>
  <c r="G126" i="84" s="1"/>
  <c r="H120" i="84"/>
  <c r="G96" i="84"/>
  <c r="G37" i="84" s="1"/>
  <c r="G97" i="84"/>
  <c r="G489" i="84" s="1"/>
  <c r="G492" i="84" s="1"/>
  <c r="H65" i="84"/>
  <c r="H95" i="84" s="1"/>
  <c r="H98" i="84" s="1"/>
  <c r="H297" i="84"/>
  <c r="G596" i="84"/>
  <c r="G515" i="84"/>
  <c r="G469" i="84" s="1"/>
  <c r="G472" i="84" s="1"/>
  <c r="H594" i="84"/>
  <c r="H596" i="84" s="1"/>
  <c r="I150" i="84"/>
  <c r="H323" i="84"/>
  <c r="G338" i="84"/>
  <c r="H337" i="84" s="1"/>
  <c r="G313" i="84"/>
  <c r="H312" i="84" s="1"/>
  <c r="I298" i="84"/>
  <c r="G325" i="84"/>
  <c r="G210" i="84" s="1"/>
  <c r="G212" i="84" s="1"/>
  <c r="I324" i="84"/>
  <c r="G524" i="84"/>
  <c r="H517" i="84"/>
  <c r="H524" i="84" s="1"/>
  <c r="I151" i="84"/>
  <c r="I152" i="84"/>
  <c r="I157" i="84"/>
  <c r="I155" i="84"/>
  <c r="F586" i="84"/>
  <c r="H160" i="84" s="1"/>
  <c r="G528" i="84"/>
  <c r="G474" i="84" s="1"/>
  <c r="G477" i="84" s="1"/>
  <c r="H539" i="84"/>
  <c r="G548" i="84"/>
  <c r="H547" i="84" s="1"/>
  <c r="G496" i="84"/>
  <c r="G499" i="84" s="1"/>
  <c r="G540" i="84"/>
  <c r="G479" i="84" s="1"/>
  <c r="G482" i="84" s="1"/>
  <c r="G536" i="84"/>
  <c r="H535" i="84" s="1"/>
  <c r="H527" i="84"/>
  <c r="G501" i="84"/>
  <c r="G504" i="84" s="1"/>
  <c r="I252" i="84"/>
  <c r="H400" i="84"/>
  <c r="H429" i="84"/>
  <c r="I428" i="84" s="1"/>
  <c r="I412" i="84"/>
  <c r="H414" i="84"/>
  <c r="H236" i="84" s="1"/>
  <c r="H122" i="84"/>
  <c r="H576" i="84" l="1"/>
  <c r="H501" i="84" s="1"/>
  <c r="H504" i="84" s="1"/>
  <c r="F587" i="84"/>
  <c r="G586" i="84" s="1"/>
  <c r="I160" i="84" s="1"/>
  <c r="H39" i="84"/>
  <c r="G552" i="84"/>
  <c r="G484" i="84" s="1"/>
  <c r="G487" i="84" s="1"/>
  <c r="G506" i="84" s="1"/>
  <c r="I149" i="84" s="1"/>
  <c r="H38" i="84"/>
  <c r="H554" i="84"/>
  <c r="H560" i="84" s="1"/>
  <c r="H587" i="84" s="1"/>
  <c r="J161" i="84" s="1"/>
  <c r="H551" i="84"/>
  <c r="G560" i="84"/>
  <c r="H559" i="84" s="1"/>
  <c r="G36" i="84"/>
  <c r="H360" i="84" s="1"/>
  <c r="H238" i="84"/>
  <c r="H523" i="84"/>
  <c r="G587" i="84"/>
  <c r="I161" i="84" s="1"/>
  <c r="G308" i="84"/>
  <c r="I343" i="84"/>
  <c r="G279" i="84"/>
  <c r="H278" i="84" s="1"/>
  <c r="G188" i="84"/>
  <c r="G190" i="84" s="1"/>
  <c r="H291" i="84"/>
  <c r="H294" i="84" s="1"/>
  <c r="G309" i="84"/>
  <c r="G293" i="84"/>
  <c r="G197" i="84" s="1"/>
  <c r="G199" i="84" s="1"/>
  <c r="H92" i="84"/>
  <c r="H124" i="84"/>
  <c r="H126" i="84" s="1"/>
  <c r="H97" i="84"/>
  <c r="H489" i="84" s="1"/>
  <c r="H492" i="84" s="1"/>
  <c r="H96" i="84"/>
  <c r="H37" i="84" s="1"/>
  <c r="H599" i="84"/>
  <c r="I323" i="84"/>
  <c r="H338" i="84"/>
  <c r="I337" i="84" s="1"/>
  <c r="I594" i="84"/>
  <c r="I596" i="84" s="1"/>
  <c r="J150" i="84"/>
  <c r="H325" i="84"/>
  <c r="H210" i="84" s="1"/>
  <c r="H212" i="84" s="1"/>
  <c r="I297" i="84"/>
  <c r="H313" i="84"/>
  <c r="I312" i="84" s="1"/>
  <c r="H299" i="84"/>
  <c r="H201" i="84" s="1"/>
  <c r="H203" i="84" s="1"/>
  <c r="H515" i="84"/>
  <c r="H469" i="84" s="1"/>
  <c r="H472" i="84" s="1"/>
  <c r="J151" i="84"/>
  <c r="J152" i="84"/>
  <c r="J157" i="84"/>
  <c r="J155" i="84"/>
  <c r="H161" i="84"/>
  <c r="H528" i="84"/>
  <c r="H474" i="84" s="1"/>
  <c r="H477" i="84" s="1"/>
  <c r="H540" i="84"/>
  <c r="H479" i="84" s="1"/>
  <c r="H482" i="84" s="1"/>
  <c r="H496" i="84"/>
  <c r="H499" i="84" s="1"/>
  <c r="I399" i="84"/>
  <c r="I415" i="84"/>
  <c r="I414" i="84" s="1"/>
  <c r="I236" i="84" s="1"/>
  <c r="I223" i="84"/>
  <c r="I225" i="84" s="1"/>
  <c r="H36" i="84" l="1"/>
  <c r="H552" i="84"/>
  <c r="H484" i="84" s="1"/>
  <c r="H487" i="84" s="1"/>
  <c r="H506" i="84" s="1"/>
  <c r="J149" i="84" s="1"/>
  <c r="I360" i="84"/>
  <c r="I238" i="84"/>
  <c r="H188" i="84"/>
  <c r="H190" i="84" s="1"/>
  <c r="H308" i="84"/>
  <c r="H293" i="84"/>
  <c r="H197" i="84" s="1"/>
  <c r="H199" i="84" s="1"/>
  <c r="I599" i="84"/>
  <c r="I325" i="84"/>
  <c r="I210" i="84" s="1"/>
  <c r="I212" i="84" s="1"/>
  <c r="I338" i="84"/>
  <c r="I313" i="84"/>
  <c r="H279" i="84"/>
  <c r="I278" i="84" s="1"/>
  <c r="H586" i="84"/>
  <c r="J160" i="84" s="1"/>
  <c r="I400" i="84"/>
  <c r="I429" i="84"/>
  <c r="H309" i="84" l="1"/>
  <c r="I291" i="84"/>
  <c r="I294" i="84" s="1"/>
  <c r="I279" i="84"/>
  <c r="I299" i="84"/>
  <c r="I201" i="84" s="1"/>
  <c r="I203" i="84" s="1"/>
  <c r="A34" i="83"/>
  <c r="A29" i="83"/>
  <c r="A28" i="83"/>
  <c r="A27" i="83"/>
  <c r="A36" i="83" s="1"/>
  <c r="I308" i="84" l="1"/>
  <c r="I309" i="84"/>
  <c r="I188" i="84"/>
  <c r="I190" i="84" s="1"/>
  <c r="C31" i="53"/>
  <c r="C84" i="53" s="1"/>
  <c r="D152" i="53" s="1"/>
  <c r="B32" i="55"/>
  <c r="B9" i="68"/>
  <c r="H47" i="57"/>
  <c r="G8" i="57"/>
  <c r="G9" i="57"/>
  <c r="G10" i="57"/>
  <c r="G11" i="57"/>
  <c r="G21" i="57"/>
  <c r="G22" i="57"/>
  <c r="G23" i="57"/>
  <c r="G24" i="57"/>
  <c r="G25" i="57"/>
  <c r="G26" i="57"/>
  <c r="G27" i="57"/>
  <c r="G28" i="57"/>
  <c r="G29" i="57"/>
  <c r="G30" i="57"/>
  <c r="G31" i="57"/>
  <c r="G34" i="57"/>
  <c r="G35" i="57"/>
  <c r="G36" i="57"/>
  <c r="G37" i="57"/>
  <c r="G38" i="57"/>
  <c r="G39" i="57"/>
  <c r="G40" i="57"/>
  <c r="G41" i="57"/>
  <c r="G42" i="57"/>
  <c r="G43" i="57"/>
  <c r="G44" i="57"/>
  <c r="G45" i="57"/>
  <c r="G46" i="57"/>
  <c r="G49" i="57"/>
  <c r="F77" i="57"/>
  <c r="F78" i="57"/>
  <c r="F79" i="57"/>
  <c r="F80" i="57"/>
  <c r="F81" i="57"/>
  <c r="F82" i="57"/>
  <c r="F91" i="57"/>
  <c r="F92" i="57"/>
  <c r="F93" i="57"/>
  <c r="F94" i="57"/>
  <c r="F95" i="57"/>
  <c r="F96" i="57"/>
  <c r="F105" i="57"/>
  <c r="F106" i="57"/>
  <c r="F107" i="57"/>
  <c r="H59" i="57"/>
  <c r="B283" i="55" s="1"/>
  <c r="B5" i="55"/>
  <c r="B63" i="55"/>
  <c r="B7" i="83"/>
  <c r="B9" i="83" s="1"/>
  <c r="D255" i="55"/>
  <c r="D279" i="55"/>
  <c r="D280" i="55"/>
  <c r="H66" i="57"/>
  <c r="V11" i="61" s="1"/>
  <c r="C30" i="53"/>
  <c r="C83" i="53" s="1"/>
  <c r="D205" i="53"/>
  <c r="D214" i="53"/>
  <c r="D243" i="53"/>
  <c r="C182" i="53"/>
  <c r="B162" i="55"/>
  <c r="D221" i="55" s="1"/>
  <c r="B163" i="55"/>
  <c r="D222" i="55" s="1"/>
  <c r="B164" i="55"/>
  <c r="D223" i="55" s="1"/>
  <c r="B10" i="42"/>
  <c r="D21" i="42" s="1"/>
  <c r="D23" i="42" s="1"/>
  <c r="F8" i="48"/>
  <c r="H8" i="48"/>
  <c r="C28" i="48" s="1"/>
  <c r="E28" i="48" s="1"/>
  <c r="D28" i="48"/>
  <c r="F9" i="48"/>
  <c r="H9" i="48" s="1"/>
  <c r="D29" i="48"/>
  <c r="F10" i="48"/>
  <c r="H10" i="48" s="1"/>
  <c r="D30" i="48"/>
  <c r="F11" i="48"/>
  <c r="H11" i="48"/>
  <c r="C31" i="48"/>
  <c r="E31" i="48" s="1"/>
  <c r="D31" i="48"/>
  <c r="F12" i="48"/>
  <c r="H12" i="48"/>
  <c r="C32" i="48" s="1"/>
  <c r="E32" i="48" s="1"/>
  <c r="D32" i="48"/>
  <c r="C33" i="48"/>
  <c r="E33" i="48" s="1"/>
  <c r="D33" i="48"/>
  <c r="C34" i="48"/>
  <c r="D34" i="48"/>
  <c r="C35" i="48"/>
  <c r="D35" i="48"/>
  <c r="E35" i="48"/>
  <c r="C36" i="48"/>
  <c r="D36" i="48"/>
  <c r="E36" i="48"/>
  <c r="C37" i="48"/>
  <c r="E37" i="48" s="1"/>
  <c r="D37" i="48"/>
  <c r="C38" i="48"/>
  <c r="E38" i="48" s="1"/>
  <c r="D38" i="48"/>
  <c r="D27" i="42"/>
  <c r="D28" i="42"/>
  <c r="D34" i="42" s="1"/>
  <c r="C29" i="42"/>
  <c r="D29" i="42" s="1"/>
  <c r="J11" i="48"/>
  <c r="J12" i="48"/>
  <c r="J13" i="48"/>
  <c r="J14" i="48"/>
  <c r="J15" i="48"/>
  <c r="J16" i="48"/>
  <c r="J17" i="48"/>
  <c r="M8" i="48"/>
  <c r="M9" i="48"/>
  <c r="M10" i="48"/>
  <c r="M11" i="48"/>
  <c r="M12" i="48"/>
  <c r="M13" i="48"/>
  <c r="M14" i="48"/>
  <c r="M15" i="48"/>
  <c r="M16" i="48"/>
  <c r="M17" i="48"/>
  <c r="D294" i="55"/>
  <c r="D301" i="55" s="1"/>
  <c r="B32" i="21" s="1"/>
  <c r="B33" i="21"/>
  <c r="D37" i="42"/>
  <c r="D43" i="42"/>
  <c r="B34" i="21" s="1"/>
  <c r="E52" i="48"/>
  <c r="E56" i="48"/>
  <c r="B35" i="21"/>
  <c r="D265" i="53"/>
  <c r="D266" i="53"/>
  <c r="D267" i="53"/>
  <c r="D273" i="53" s="1"/>
  <c r="B36" i="21" s="1"/>
  <c r="D268" i="53"/>
  <c r="C10" i="62"/>
  <c r="C9" i="62"/>
  <c r="C8" i="62"/>
  <c r="C7" i="62"/>
  <c r="C6" i="62"/>
  <c r="C5" i="62"/>
  <c r="H63" i="55"/>
  <c r="E172" i="55"/>
  <c r="F172" i="55"/>
  <c r="G172" i="55"/>
  <c r="H172" i="55" s="1"/>
  <c r="I172" i="55" s="1"/>
  <c r="J172" i="55" s="1"/>
  <c r="H32" i="55"/>
  <c r="H89" i="55" s="1"/>
  <c r="J255" i="55"/>
  <c r="H141" i="55"/>
  <c r="G63" i="55"/>
  <c r="G32" i="55"/>
  <c r="G89" i="55" s="1"/>
  <c r="I255" i="55"/>
  <c r="I279" i="55"/>
  <c r="I280" i="55"/>
  <c r="F63" i="55"/>
  <c r="F32" i="55"/>
  <c r="F89" i="55" s="1"/>
  <c r="H255" i="55"/>
  <c r="H279" i="55"/>
  <c r="H280" i="55"/>
  <c r="E63" i="55"/>
  <c r="E32" i="55"/>
  <c r="E89" i="55" s="1"/>
  <c r="G255" i="55"/>
  <c r="G279" i="55"/>
  <c r="G280" i="55"/>
  <c r="D63" i="55"/>
  <c r="D32" i="55"/>
  <c r="D89" i="55"/>
  <c r="F254" i="55" s="1"/>
  <c r="F255" i="55"/>
  <c r="F279" i="55"/>
  <c r="F280" i="55"/>
  <c r="D141" i="55"/>
  <c r="C63" i="55"/>
  <c r="C32" i="55"/>
  <c r="C89" i="55" s="1"/>
  <c r="E255" i="55"/>
  <c r="E279" i="55"/>
  <c r="E280" i="55"/>
  <c r="E130" i="84"/>
  <c r="E170" i="84" s="1"/>
  <c r="E124" i="53"/>
  <c r="F124" i="53" s="1"/>
  <c r="G124" i="53" s="1"/>
  <c r="H124" i="53" s="1"/>
  <c r="I31" i="53"/>
  <c r="I84" i="53" s="1"/>
  <c r="H31" i="53"/>
  <c r="H84" i="53" s="1"/>
  <c r="G31" i="53"/>
  <c r="G84" i="53" s="1"/>
  <c r="F30" i="53"/>
  <c r="F83" i="53" s="1"/>
  <c r="F31" i="53"/>
  <c r="F84" i="53" s="1"/>
  <c r="G205" i="53"/>
  <c r="G214" i="53"/>
  <c r="G243" i="53"/>
  <c r="E30" i="53"/>
  <c r="E83" i="53"/>
  <c r="F218" i="53" s="1"/>
  <c r="E31" i="53"/>
  <c r="E84" i="53"/>
  <c r="F219" i="53" s="1"/>
  <c r="F205" i="53"/>
  <c r="F214" i="53"/>
  <c r="F243" i="53"/>
  <c r="D30" i="53"/>
  <c r="D83" i="53"/>
  <c r="E218" i="53" s="1"/>
  <c r="D31" i="53"/>
  <c r="D84" i="53" s="1"/>
  <c r="E205" i="53"/>
  <c r="E214" i="53"/>
  <c r="E243" i="53"/>
  <c r="F23" i="48"/>
  <c r="G23" i="48"/>
  <c r="H23" i="48" s="1"/>
  <c r="E17" i="42"/>
  <c r="F17" i="42"/>
  <c r="G17" i="42" s="1"/>
  <c r="F27" i="42"/>
  <c r="F28" i="42"/>
  <c r="F34" i="42" s="1"/>
  <c r="F29" i="42"/>
  <c r="E27" i="42"/>
  <c r="E34" i="42" s="1"/>
  <c r="E28" i="42"/>
  <c r="E29" i="42"/>
  <c r="C162" i="55"/>
  <c r="E221" i="55" s="1"/>
  <c r="C163" i="55"/>
  <c r="E222" i="55" s="1"/>
  <c r="C164" i="55"/>
  <c r="E223" i="55" s="1"/>
  <c r="F28" i="48"/>
  <c r="F31" i="48"/>
  <c r="F32" i="48"/>
  <c r="F33" i="48"/>
  <c r="F34" i="48"/>
  <c r="F35" i="48"/>
  <c r="F36" i="48"/>
  <c r="F37" i="48"/>
  <c r="F38" i="48"/>
  <c r="C9" i="42"/>
  <c r="C10" i="42" s="1"/>
  <c r="E21" i="42" s="1"/>
  <c r="E23" i="42" s="1"/>
  <c r="F38" i="61" s="1"/>
  <c r="D162" i="55"/>
  <c r="F221" i="55" s="1"/>
  <c r="D163" i="55"/>
  <c r="F222" i="55" s="1"/>
  <c r="D164" i="55"/>
  <c r="F223" i="55" s="1"/>
  <c r="G28" i="48"/>
  <c r="G31" i="48"/>
  <c r="G32" i="48"/>
  <c r="G33" i="48"/>
  <c r="G34" i="48"/>
  <c r="G35" i="48"/>
  <c r="G36" i="48"/>
  <c r="G37" i="48"/>
  <c r="G38" i="48"/>
  <c r="F151" i="53"/>
  <c r="D9" i="42"/>
  <c r="D10" i="42" s="1"/>
  <c r="F21" i="42" s="1"/>
  <c r="F23" i="42" s="1"/>
  <c r="G38" i="61" s="1"/>
  <c r="E162" i="55"/>
  <c r="G221" i="55" s="1"/>
  <c r="E163" i="55"/>
  <c r="G222" i="55" s="1"/>
  <c r="E164" i="55"/>
  <c r="G223" i="55" s="1"/>
  <c r="E9" i="42"/>
  <c r="E10" i="42" s="1"/>
  <c r="G21" i="42" s="1"/>
  <c r="G23" i="42" s="1"/>
  <c r="H38" i="61" s="1"/>
  <c r="F162" i="55"/>
  <c r="H221" i="55" s="1"/>
  <c r="F163" i="55"/>
  <c r="H222" i="55" s="1"/>
  <c r="F164" i="55"/>
  <c r="H223" i="55" s="1"/>
  <c r="F9" i="42"/>
  <c r="F10" i="42" s="1"/>
  <c r="G162" i="55"/>
  <c r="I221" i="55" s="1"/>
  <c r="G163" i="55"/>
  <c r="I222" i="55" s="1"/>
  <c r="G164" i="55"/>
  <c r="I223" i="55" s="1"/>
  <c r="G9" i="42"/>
  <c r="G10" i="42"/>
  <c r="H162" i="55"/>
  <c r="J221" i="55" s="1"/>
  <c r="H163" i="55"/>
  <c r="J222" i="55"/>
  <c r="H164" i="55"/>
  <c r="J223" i="55" s="1"/>
  <c r="H9" i="42"/>
  <c r="H10" i="42" s="1"/>
  <c r="A9" i="53"/>
  <c r="C9" i="61"/>
  <c r="C17" i="61"/>
  <c r="H68" i="57"/>
  <c r="V8" i="61"/>
  <c r="V9" i="61"/>
  <c r="V10" i="61"/>
  <c r="V12" i="61"/>
  <c r="V13" i="61"/>
  <c r="U13" i="61"/>
  <c r="U12" i="61"/>
  <c r="U10" i="61"/>
  <c r="U11" i="61"/>
  <c r="U9" i="61"/>
  <c r="O13" i="61"/>
  <c r="P13" i="61" s="1"/>
  <c r="Q13" i="61" s="1"/>
  <c r="R13" i="61" s="1"/>
  <c r="N13" i="61"/>
  <c r="O12" i="61"/>
  <c r="N12" i="61"/>
  <c r="O11" i="61"/>
  <c r="P11" i="61" s="1"/>
  <c r="Q11" i="61" s="1"/>
  <c r="R11" i="61" s="1"/>
  <c r="N11" i="61"/>
  <c r="N10" i="61"/>
  <c r="O10" i="61"/>
  <c r="P10" i="61" s="1"/>
  <c r="Q10" i="61" s="1"/>
  <c r="R10" i="61" s="1"/>
  <c r="O9" i="61"/>
  <c r="P9" i="61" s="1"/>
  <c r="Q9" i="61" s="1"/>
  <c r="R9" i="61" s="1"/>
  <c r="N9" i="61"/>
  <c r="R8" i="61"/>
  <c r="Q8" i="61"/>
  <c r="P8" i="61"/>
  <c r="O8" i="61"/>
  <c r="P12" i="61"/>
  <c r="Q12" i="61" s="1"/>
  <c r="R12" i="61" s="1"/>
  <c r="C15" i="61"/>
  <c r="C16" i="61"/>
  <c r="E10" i="21"/>
  <c r="D10" i="21"/>
  <c r="C10" i="21"/>
  <c r="F34" i="29"/>
  <c r="D34" i="29"/>
  <c r="B37" i="29"/>
  <c r="B36" i="29"/>
  <c r="B35" i="29"/>
  <c r="B34" i="29"/>
  <c r="B33" i="29"/>
  <c r="B32" i="29"/>
  <c r="C52" i="61"/>
  <c r="C51" i="61"/>
  <c r="C50" i="61"/>
  <c r="C49" i="61"/>
  <c r="C48" i="61"/>
  <c r="C47" i="61"/>
  <c r="A27" i="21"/>
  <c r="A37" i="21" s="1"/>
  <c r="A179" i="53"/>
  <c r="A243" i="53" s="1"/>
  <c r="A57" i="53"/>
  <c r="A26" i="83"/>
  <c r="A35" i="83" s="1"/>
  <c r="A25" i="83"/>
  <c r="A32" i="53"/>
  <c r="A153" i="53" s="1"/>
  <c r="A220" i="53" s="1"/>
  <c r="A31" i="53"/>
  <c r="A30" i="53"/>
  <c r="A29" i="53"/>
  <c r="A28" i="53"/>
  <c r="A34" i="55"/>
  <c r="A91" i="55" s="1"/>
  <c r="A143" i="55" s="1"/>
  <c r="A202" i="55" s="1"/>
  <c r="A256" i="55" s="1"/>
  <c r="A39" i="55"/>
  <c r="A96" i="55" s="1"/>
  <c r="A148" i="55" s="1"/>
  <c r="A207" i="55" s="1"/>
  <c r="A261" i="55" s="1"/>
  <c r="A279" i="55"/>
  <c r="A280" i="55"/>
  <c r="A255" i="55"/>
  <c r="A254" i="55"/>
  <c r="A31" i="55"/>
  <c r="A88" i="55"/>
  <c r="A140" i="55" s="1"/>
  <c r="A198" i="55" s="1"/>
  <c r="A253" i="55" s="1"/>
  <c r="A30" i="55"/>
  <c r="A87" i="55" s="1"/>
  <c r="A139" i="55" s="1"/>
  <c r="A197" i="55" s="1"/>
  <c r="A252" i="55" s="1"/>
  <c r="A29" i="55"/>
  <c r="A86" i="55" s="1"/>
  <c r="A138" i="55" s="1"/>
  <c r="A196" i="55" s="1"/>
  <c r="A251" i="55" s="1"/>
  <c r="A28" i="55"/>
  <c r="A85" i="55"/>
  <c r="A137" i="55" s="1"/>
  <c r="A195" i="55" s="1"/>
  <c r="A250" i="55" s="1"/>
  <c r="E294" i="55"/>
  <c r="E301" i="55" s="1"/>
  <c r="C32" i="21" s="1"/>
  <c r="C33" i="21"/>
  <c r="E265" i="53"/>
  <c r="E266" i="53"/>
  <c r="E273" i="53" s="1"/>
  <c r="C36" i="21" s="1"/>
  <c r="E267" i="53"/>
  <c r="E268" i="53"/>
  <c r="E37" i="42"/>
  <c r="E43" i="42" s="1"/>
  <c r="C34" i="21" s="1"/>
  <c r="F52" i="48"/>
  <c r="F56" i="48"/>
  <c r="C35" i="21" s="1"/>
  <c r="F294" i="55"/>
  <c r="F301" i="55"/>
  <c r="D32" i="21" s="1"/>
  <c r="D33" i="21"/>
  <c r="F265" i="53"/>
  <c r="F266" i="53"/>
  <c r="F267" i="53"/>
  <c r="F273" i="53" s="1"/>
  <c r="D36" i="21" s="1"/>
  <c r="F268" i="53"/>
  <c r="F37" i="42"/>
  <c r="F43" i="42"/>
  <c r="D34" i="21" s="1"/>
  <c r="G52" i="48"/>
  <c r="G56" i="48"/>
  <c r="D35" i="21"/>
  <c r="G294" i="55"/>
  <c r="G301" i="55"/>
  <c r="E32" i="21"/>
  <c r="E33" i="21"/>
  <c r="G265" i="53"/>
  <c r="G266" i="53"/>
  <c r="G267" i="53"/>
  <c r="G268" i="53"/>
  <c r="G273" i="53"/>
  <c r="E36" i="21" s="1"/>
  <c r="G37" i="42"/>
  <c r="G43" i="42"/>
  <c r="E34" i="21"/>
  <c r="H52" i="48"/>
  <c r="H56" i="48"/>
  <c r="E35" i="21"/>
  <c r="H294" i="55"/>
  <c r="H301" i="55"/>
  <c r="F32" i="21"/>
  <c r="F33" i="21"/>
  <c r="H265" i="53"/>
  <c r="H266" i="53"/>
  <c r="H267" i="53"/>
  <c r="H268" i="53"/>
  <c r="H273" i="53"/>
  <c r="F36" i="21" s="1"/>
  <c r="I294" i="55"/>
  <c r="I301" i="55" s="1"/>
  <c r="G32" i="21" s="1"/>
  <c r="G33" i="21"/>
  <c r="J294" i="55"/>
  <c r="J301" i="55" s="1"/>
  <c r="H32" i="21" s="1"/>
  <c r="H33" i="21"/>
  <c r="A53" i="22"/>
  <c r="A54" i="22"/>
  <c r="A55" i="22"/>
  <c r="A56" i="22"/>
  <c r="H32" i="57"/>
  <c r="C62" i="29"/>
  <c r="D62" i="29" s="1"/>
  <c r="E62" i="29" s="1"/>
  <c r="F62" i="29" s="1"/>
  <c r="G62" i="29" s="1"/>
  <c r="H62" i="29" s="1"/>
  <c r="I62" i="29" s="1"/>
  <c r="F13" i="48"/>
  <c r="F14" i="48"/>
  <c r="F15" i="48"/>
  <c r="F16" i="48"/>
  <c r="F17" i="48"/>
  <c r="A152" i="53"/>
  <c r="A219" i="53" s="1"/>
  <c r="A151" i="53"/>
  <c r="A218" i="53" s="1"/>
  <c r="A150" i="53"/>
  <c r="A217" i="53" s="1"/>
  <c r="A149" i="53"/>
  <c r="A216" i="53" s="1"/>
  <c r="A27" i="53"/>
  <c r="A26" i="53"/>
  <c r="A147" i="53"/>
  <c r="A214" i="53" s="1"/>
  <c r="A24" i="53"/>
  <c r="A22" i="53"/>
  <c r="A20" i="53"/>
  <c r="A18" i="53"/>
  <c r="A138" i="53"/>
  <c r="A205" i="53" s="1"/>
  <c r="A16" i="53"/>
  <c r="A14" i="53"/>
  <c r="A129" i="53"/>
  <c r="A61" i="53"/>
  <c r="A84" i="53"/>
  <c r="A83" i="53"/>
  <c r="A82" i="53"/>
  <c r="A81" i="53"/>
  <c r="A79" i="53"/>
  <c r="A70" i="53"/>
  <c r="A10" i="53"/>
  <c r="A27" i="55"/>
  <c r="A84" i="55" s="1"/>
  <c r="A136" i="55" s="1"/>
  <c r="A194" i="55" s="1"/>
  <c r="A249" i="55" s="1"/>
  <c r="A26" i="55"/>
  <c r="A83" i="55" s="1"/>
  <c r="A135" i="55" s="1"/>
  <c r="A193" i="55" s="1"/>
  <c r="A248" i="55" s="1"/>
  <c r="A25" i="55"/>
  <c r="A82" i="55" s="1"/>
  <c r="A134" i="55" s="1"/>
  <c r="A192" i="55" s="1"/>
  <c r="A247" i="55" s="1"/>
  <c r="A24" i="55"/>
  <c r="A81" i="55" s="1"/>
  <c r="A133" i="55" s="1"/>
  <c r="A191" i="55" s="1"/>
  <c r="A246" i="55" s="1"/>
  <c r="A23" i="55"/>
  <c r="A80" i="55" s="1"/>
  <c r="A132" i="55" s="1"/>
  <c r="A190" i="55" s="1"/>
  <c r="A245" i="55" s="1"/>
  <c r="A22" i="55"/>
  <c r="A79" i="55" s="1"/>
  <c r="A131" i="55" s="1"/>
  <c r="A189" i="55" s="1"/>
  <c r="A244" i="55" s="1"/>
  <c r="A21" i="55"/>
  <c r="A78" i="55" s="1"/>
  <c r="A130" i="55" s="1"/>
  <c r="A188" i="55" s="1"/>
  <c r="A243" i="55" s="1"/>
  <c r="A20" i="55"/>
  <c r="A77" i="55"/>
  <c r="A129" i="55" s="1"/>
  <c r="A187" i="55" s="1"/>
  <c r="A242" i="55" s="1"/>
  <c r="A19" i="55"/>
  <c r="A76" i="55" s="1"/>
  <c r="A128" i="55" s="1"/>
  <c r="A186" i="55" s="1"/>
  <c r="A241" i="55" s="1"/>
  <c r="A18" i="55"/>
  <c r="A75" i="55" s="1"/>
  <c r="A127" i="55" s="1"/>
  <c r="A185" i="55" s="1"/>
  <c r="A240" i="55" s="1"/>
  <c r="A17" i="55"/>
  <c r="A74" i="55" s="1"/>
  <c r="A126" i="55" s="1"/>
  <c r="A184" i="55" s="1"/>
  <c r="A239" i="55" s="1"/>
  <c r="A16" i="55"/>
  <c r="A73" i="55"/>
  <c r="A125" i="55" s="1"/>
  <c r="A183" i="55" s="1"/>
  <c r="A238" i="55" s="1"/>
  <c r="A15" i="55"/>
  <c r="A72" i="55" s="1"/>
  <c r="A124" i="55" s="1"/>
  <c r="A182" i="55" s="1"/>
  <c r="A237" i="55" s="1"/>
  <c r="A14" i="55"/>
  <c r="A71" i="55" s="1"/>
  <c r="A123" i="55" s="1"/>
  <c r="A181" i="55" s="1"/>
  <c r="A236" i="55" s="1"/>
  <c r="A13" i="55"/>
  <c r="A70" i="55" s="1"/>
  <c r="A122" i="55" s="1"/>
  <c r="A180" i="55" s="1"/>
  <c r="A235" i="55" s="1"/>
  <c r="A12" i="55"/>
  <c r="A69" i="55" s="1"/>
  <c r="A121" i="55" s="1"/>
  <c r="A179" i="55" s="1"/>
  <c r="A234" i="55" s="1"/>
  <c r="A11" i="55"/>
  <c r="A68" i="55" s="1"/>
  <c r="A120" i="55" s="1"/>
  <c r="A178" i="55" s="1"/>
  <c r="A233" i="55" s="1"/>
  <c r="A32" i="55"/>
  <c r="A89" i="55" s="1"/>
  <c r="A141" i="55" s="1"/>
  <c r="A32" i="48"/>
  <c r="A31" i="48"/>
  <c r="A30" i="48"/>
  <c r="A29" i="48"/>
  <c r="A28" i="48"/>
  <c r="B95" i="29"/>
  <c r="B94" i="29"/>
  <c r="B93" i="29"/>
  <c r="B92" i="29"/>
  <c r="A24" i="21"/>
  <c r="A34" i="21" s="1"/>
  <c r="A23" i="21"/>
  <c r="A33" i="21" s="1"/>
  <c r="A22" i="21"/>
  <c r="A32" i="21" s="1"/>
  <c r="A25" i="21"/>
  <c r="A35" i="21" s="1"/>
  <c r="A26" i="21"/>
  <c r="A36" i="21" s="1"/>
  <c r="F45" i="42"/>
  <c r="F47" i="42" s="1"/>
  <c r="E45" i="42"/>
  <c r="D45" i="42"/>
  <c r="H29" i="69"/>
  <c r="B18" i="68"/>
  <c r="B17" i="68"/>
  <c r="A251" i="53"/>
  <c r="A250" i="53"/>
  <c r="A249" i="53"/>
  <c r="A247" i="53"/>
  <c r="A246" i="53"/>
  <c r="A245" i="53"/>
  <c r="A244" i="53"/>
  <c r="A195" i="53"/>
  <c r="E47" i="42"/>
  <c r="D47" i="42"/>
  <c r="I293" i="84" l="1"/>
  <c r="I197" i="84" s="1"/>
  <c r="I199" i="84" s="1"/>
  <c r="E254" i="55"/>
  <c r="C141" i="55"/>
  <c r="G151" i="53"/>
  <c r="G218" i="53"/>
  <c r="D219" i="53"/>
  <c r="E151" i="53"/>
  <c r="B89" i="55"/>
  <c r="B141" i="55" s="1"/>
  <c r="D199" i="55" s="1"/>
  <c r="E124" i="29"/>
  <c r="E139" i="29"/>
  <c r="E154" i="29"/>
  <c r="E169" i="29"/>
  <c r="E34" i="29"/>
  <c r="F124" i="29"/>
  <c r="F139" i="29"/>
  <c r="F154" i="29"/>
  <c r="F169" i="29"/>
  <c r="D124" i="29"/>
  <c r="D139" i="29"/>
  <c r="D154" i="29"/>
  <c r="D169" i="29"/>
  <c r="F130" i="84"/>
  <c r="F170" i="84" s="1"/>
  <c r="E171" i="84"/>
  <c r="G47" i="57"/>
  <c r="F83" i="57"/>
  <c r="D7" i="62" s="1"/>
  <c r="C41" i="22" s="1"/>
  <c r="F97" i="57"/>
  <c r="D8" i="62" s="1"/>
  <c r="C20" i="68" s="1"/>
  <c r="F108" i="57"/>
  <c r="D9" i="62" s="1"/>
  <c r="G32" i="57"/>
  <c r="O16" i="61"/>
  <c r="R16" i="61"/>
  <c r="Q16" i="61"/>
  <c r="P16" i="61"/>
  <c r="C14" i="21"/>
  <c r="V16" i="61"/>
  <c r="A49" i="55"/>
  <c r="A106" i="55" s="1"/>
  <c r="A158" i="55" s="1"/>
  <c r="A217" i="55" s="1"/>
  <c r="A271" i="55" s="1"/>
  <c r="A45" i="55"/>
  <c r="A102" i="55" s="1"/>
  <c r="A154" i="55" s="1"/>
  <c r="A213" i="55" s="1"/>
  <c r="A267" i="55" s="1"/>
  <c r="A51" i="55"/>
  <c r="A108" i="55" s="1"/>
  <c r="A160" i="55" s="1"/>
  <c r="A219" i="55" s="1"/>
  <c r="A273" i="55" s="1"/>
  <c r="A55" i="55"/>
  <c r="A112" i="55" s="1"/>
  <c r="A164" i="55" s="1"/>
  <c r="A223" i="55" s="1"/>
  <c r="A59" i="55"/>
  <c r="A116" i="55" s="1"/>
  <c r="A168" i="55" s="1"/>
  <c r="A227" i="55" s="1"/>
  <c r="A278" i="55" s="1"/>
  <c r="A43" i="55"/>
  <c r="A100" i="55" s="1"/>
  <c r="A152" i="55" s="1"/>
  <c r="A211" i="55" s="1"/>
  <c r="A265" i="55" s="1"/>
  <c r="A53" i="53"/>
  <c r="A174" i="53" s="1"/>
  <c r="A55" i="53"/>
  <c r="A176" i="53" s="1"/>
  <c r="A240" i="53" s="1"/>
  <c r="A58" i="55"/>
  <c r="A115" i="55" s="1"/>
  <c r="A167" i="55" s="1"/>
  <c r="A226" i="55" s="1"/>
  <c r="A277" i="55" s="1"/>
  <c r="A47" i="55"/>
  <c r="A104" i="55" s="1"/>
  <c r="A156" i="55" s="1"/>
  <c r="A215" i="55" s="1"/>
  <c r="A269" i="55" s="1"/>
  <c r="A54" i="55"/>
  <c r="A111" i="55" s="1"/>
  <c r="A163" i="55" s="1"/>
  <c r="A222" i="55" s="1"/>
  <c r="A56" i="55"/>
  <c r="A113" i="55" s="1"/>
  <c r="A165" i="55" s="1"/>
  <c r="A224" i="55" s="1"/>
  <c r="A275" i="55" s="1"/>
  <c r="A57" i="55"/>
  <c r="A114" i="55" s="1"/>
  <c r="A166" i="55" s="1"/>
  <c r="A225" i="55" s="1"/>
  <c r="A276" i="55" s="1"/>
  <c r="A44" i="53"/>
  <c r="A165" i="53" s="1"/>
  <c r="A232" i="53" s="1"/>
  <c r="A52" i="53"/>
  <c r="A173" i="53" s="1"/>
  <c r="A45" i="83"/>
  <c r="A36" i="53" s="1"/>
  <c r="A89" i="53" s="1"/>
  <c r="A40" i="53"/>
  <c r="A161" i="53" s="1"/>
  <c r="A228" i="53" s="1"/>
  <c r="A48" i="53"/>
  <c r="A101" i="53" s="1"/>
  <c r="A34" i="53"/>
  <c r="A155" i="53" s="1"/>
  <c r="A222" i="53" s="1"/>
  <c r="A38" i="53"/>
  <c r="A159" i="53" s="1"/>
  <c r="A226" i="53" s="1"/>
  <c r="A42" i="53"/>
  <c r="A95" i="53" s="1"/>
  <c r="A46" i="53"/>
  <c r="A167" i="53" s="1"/>
  <c r="A234" i="53" s="1"/>
  <c r="A50" i="53"/>
  <c r="A103" i="53" s="1"/>
  <c r="A85" i="53"/>
  <c r="A50" i="55"/>
  <c r="A107" i="55" s="1"/>
  <c r="A159" i="55" s="1"/>
  <c r="A218" i="55" s="1"/>
  <c r="A272" i="55" s="1"/>
  <c r="A46" i="55"/>
  <c r="A103" i="55" s="1"/>
  <c r="A155" i="55" s="1"/>
  <c r="A214" i="55" s="1"/>
  <c r="A268" i="55" s="1"/>
  <c r="A42" i="55"/>
  <c r="A99" i="55" s="1"/>
  <c r="A151" i="55" s="1"/>
  <c r="A210" i="55" s="1"/>
  <c r="A264" i="55" s="1"/>
  <c r="A38" i="55"/>
  <c r="A95" i="55" s="1"/>
  <c r="A147" i="55" s="1"/>
  <c r="A206" i="55" s="1"/>
  <c r="A260" i="55" s="1"/>
  <c r="A41" i="55"/>
  <c r="A98" i="55" s="1"/>
  <c r="A150" i="55" s="1"/>
  <c r="A209" i="55" s="1"/>
  <c r="A263" i="55" s="1"/>
  <c r="A37" i="55"/>
  <c r="A94" i="55" s="1"/>
  <c r="A146" i="55" s="1"/>
  <c r="A205" i="55" s="1"/>
  <c r="A259" i="55" s="1"/>
  <c r="A53" i="55"/>
  <c r="A110" i="55" s="1"/>
  <c r="A162" i="55" s="1"/>
  <c r="A221" i="55" s="1"/>
  <c r="A52" i="55"/>
  <c r="A109" i="55" s="1"/>
  <c r="A161" i="55" s="1"/>
  <c r="A220" i="55" s="1"/>
  <c r="A274" i="55" s="1"/>
  <c r="A48" i="55"/>
  <c r="A105" i="55" s="1"/>
  <c r="A157" i="55" s="1"/>
  <c r="A216" i="55" s="1"/>
  <c r="A270" i="55" s="1"/>
  <c r="A44" i="55"/>
  <c r="A101" i="55" s="1"/>
  <c r="A153" i="55" s="1"/>
  <c r="A212" i="55" s="1"/>
  <c r="A266" i="55" s="1"/>
  <c r="A40" i="55"/>
  <c r="A97" i="55" s="1"/>
  <c r="A149" i="55" s="1"/>
  <c r="A208" i="55" s="1"/>
  <c r="A262" i="55" s="1"/>
  <c r="A36" i="55"/>
  <c r="A93" i="55" s="1"/>
  <c r="A145" i="55" s="1"/>
  <c r="A204" i="55" s="1"/>
  <c r="A258" i="55" s="1"/>
  <c r="A141" i="53"/>
  <c r="A208" i="53" s="1"/>
  <c r="A73" i="53"/>
  <c r="A25" i="53"/>
  <c r="A148" i="53"/>
  <c r="A215" i="53" s="1"/>
  <c r="A80" i="53"/>
  <c r="A12" i="53"/>
  <c r="A15" i="53"/>
  <c r="A139" i="53"/>
  <c r="A206" i="53" s="1"/>
  <c r="A71" i="53"/>
  <c r="A23" i="53"/>
  <c r="A11" i="53"/>
  <c r="A13" i="53"/>
  <c r="A137" i="53"/>
  <c r="A204" i="53" s="1"/>
  <c r="A69" i="53"/>
  <c r="A21" i="53"/>
  <c r="A145" i="53"/>
  <c r="A212" i="53" s="1"/>
  <c r="A77" i="53"/>
  <c r="A63" i="53"/>
  <c r="A131" i="53"/>
  <c r="A198" i="53" s="1"/>
  <c r="A135" i="53"/>
  <c r="A202" i="53" s="1"/>
  <c r="A67" i="53"/>
  <c r="A19" i="53"/>
  <c r="A143" i="53"/>
  <c r="A210" i="53" s="1"/>
  <c r="A75" i="53"/>
  <c r="A56" i="53"/>
  <c r="A130" i="53"/>
  <c r="A197" i="53" s="1"/>
  <c r="A62" i="53"/>
  <c r="A110" i="53"/>
  <c r="A178" i="53"/>
  <c r="A242" i="53" s="1"/>
  <c r="A51" i="53"/>
  <c r="A33" i="53"/>
  <c r="A35" i="53"/>
  <c r="A37" i="53"/>
  <c r="A39" i="53"/>
  <c r="A41" i="53"/>
  <c r="A43" i="53"/>
  <c r="A45" i="53"/>
  <c r="A47" i="53"/>
  <c r="A49" i="53"/>
  <c r="A157" i="53"/>
  <c r="A224" i="53" s="1"/>
  <c r="A54" i="53"/>
  <c r="D24" i="21"/>
  <c r="G51" i="61"/>
  <c r="H31" i="48"/>
  <c r="H35" i="48"/>
  <c r="I23" i="48"/>
  <c r="H28" i="48"/>
  <c r="H32" i="48"/>
  <c r="H36" i="48"/>
  <c r="H33" i="48"/>
  <c r="H37" i="48"/>
  <c r="H34" i="48"/>
  <c r="H38" i="48"/>
  <c r="A35" i="55"/>
  <c r="A92" i="55" s="1"/>
  <c r="A144" i="55" s="1"/>
  <c r="A203" i="55" s="1"/>
  <c r="A257" i="55" s="1"/>
  <c r="C24" i="21"/>
  <c r="F51" i="61"/>
  <c r="G28" i="42"/>
  <c r="G29" i="42"/>
  <c r="H17" i="42"/>
  <c r="H21" i="42" s="1"/>
  <c r="H23" i="42" s="1"/>
  <c r="G27" i="42"/>
  <c r="H152" i="53"/>
  <c r="G219" i="53"/>
  <c r="G152" i="53"/>
  <c r="F152" i="53"/>
  <c r="E152" i="53"/>
  <c r="E219" i="53"/>
  <c r="I124" i="53"/>
  <c r="H205" i="53"/>
  <c r="H214" i="53"/>
  <c r="H243" i="53"/>
  <c r="G30" i="53"/>
  <c r="G83" i="53" s="1"/>
  <c r="H219" i="53"/>
  <c r="I219" i="53"/>
  <c r="G141" i="55"/>
  <c r="I254" i="55"/>
  <c r="F141" i="55"/>
  <c r="H254" i="55"/>
  <c r="E141" i="55"/>
  <c r="G199" i="55" s="1"/>
  <c r="G254" i="55"/>
  <c r="E51" i="61"/>
  <c r="B24" i="21"/>
  <c r="J10" i="48"/>
  <c r="C30" i="48"/>
  <c r="J279" i="55"/>
  <c r="J280" i="55"/>
  <c r="E34" i="48"/>
  <c r="J254" i="55"/>
  <c r="C44" i="48"/>
  <c r="J8" i="48"/>
  <c r="G12" i="57"/>
  <c r="D5" i="62" s="1"/>
  <c r="J9" i="48"/>
  <c r="C29" i="48"/>
  <c r="E38" i="61"/>
  <c r="B10" i="21"/>
  <c r="D151" i="53"/>
  <c r="D218" i="53"/>
  <c r="D254" i="55"/>
  <c r="C19" i="68" l="1"/>
  <c r="H5" i="62"/>
  <c r="I5" i="62" s="1"/>
  <c r="E199" i="55"/>
  <c r="F199" i="55"/>
  <c r="H199" i="55"/>
  <c r="C124" i="29"/>
  <c r="C139" i="29"/>
  <c r="C154" i="29"/>
  <c r="C169" i="29"/>
  <c r="G130" i="84"/>
  <c r="G170" i="84" s="1"/>
  <c r="F171" i="84"/>
  <c r="F7" i="62"/>
  <c r="G68" i="57"/>
  <c r="D169" i="84" s="1"/>
  <c r="F8" i="62"/>
  <c r="C42" i="22"/>
  <c r="C43" i="22" s="1"/>
  <c r="G42" i="22"/>
  <c r="K41" i="22"/>
  <c r="D42" i="22"/>
  <c r="E42" i="22"/>
  <c r="F42" i="22"/>
  <c r="H42" i="22"/>
  <c r="I42" i="22"/>
  <c r="C44" i="22"/>
  <c r="D41" i="22" s="1"/>
  <c r="C53" i="22"/>
  <c r="D54" i="22" s="1"/>
  <c r="F9" i="62"/>
  <c r="C47" i="22"/>
  <c r="C21" i="68"/>
  <c r="D14" i="21"/>
  <c r="A169" i="53"/>
  <c r="A236" i="53" s="1"/>
  <c r="A99" i="53"/>
  <c r="A97" i="53"/>
  <c r="A91" i="53"/>
  <c r="A163" i="53"/>
  <c r="A230" i="53" s="1"/>
  <c r="A87" i="53"/>
  <c r="A106" i="53"/>
  <c r="A171" i="53"/>
  <c r="A238" i="53" s="1"/>
  <c r="A105" i="53"/>
  <c r="A93" i="53"/>
  <c r="A108" i="53"/>
  <c r="C40" i="53"/>
  <c r="C93" i="53" s="1"/>
  <c r="F10" i="21"/>
  <c r="I38" i="61"/>
  <c r="C34" i="29"/>
  <c r="E30" i="48"/>
  <c r="G30" i="48"/>
  <c r="I30" i="48"/>
  <c r="F30" i="48"/>
  <c r="H30" i="48"/>
  <c r="H218" i="53"/>
  <c r="H151" i="53"/>
  <c r="A175" i="53"/>
  <c r="A239" i="53" s="1"/>
  <c r="A107" i="53"/>
  <c r="A154" i="53"/>
  <c r="A221" i="53" s="1"/>
  <c r="A86" i="53"/>
  <c r="A172" i="53"/>
  <c r="A104" i="53"/>
  <c r="A133" i="53"/>
  <c r="A200" i="53" s="1"/>
  <c r="A65" i="53"/>
  <c r="C29" i="22"/>
  <c r="F5" i="62"/>
  <c r="C17" i="68"/>
  <c r="C43" i="48"/>
  <c r="I30" i="53"/>
  <c r="I83" i="53" s="1"/>
  <c r="H30" i="53"/>
  <c r="H83" i="53" s="1"/>
  <c r="J124" i="53"/>
  <c r="I205" i="53"/>
  <c r="I214" i="53"/>
  <c r="I243" i="53"/>
  <c r="I268" i="53"/>
  <c r="I152" i="53"/>
  <c r="I267" i="53"/>
  <c r="I265" i="53"/>
  <c r="I273" i="53" s="1"/>
  <c r="G36" i="21" s="1"/>
  <c r="I266" i="53"/>
  <c r="I33" i="48"/>
  <c r="I37" i="48"/>
  <c r="I34" i="48"/>
  <c r="I38" i="48"/>
  <c r="J23" i="48"/>
  <c r="I31" i="48"/>
  <c r="I35" i="48"/>
  <c r="I28" i="48"/>
  <c r="I32" i="48"/>
  <c r="I36" i="48"/>
  <c r="I52" i="48"/>
  <c r="I56" i="48" s="1"/>
  <c r="F35" i="21" s="1"/>
  <c r="A170" i="53"/>
  <c r="A237" i="53" s="1"/>
  <c r="A102" i="53"/>
  <c r="A166" i="53"/>
  <c r="A233" i="53" s="1"/>
  <c r="A98" i="53"/>
  <c r="A162" i="53"/>
  <c r="A229" i="53" s="1"/>
  <c r="A94" i="53"/>
  <c r="A158" i="53"/>
  <c r="A225" i="53" s="1"/>
  <c r="A90" i="53"/>
  <c r="A177" i="53"/>
  <c r="A241" i="53" s="1"/>
  <c r="A109" i="53"/>
  <c r="A66" i="53"/>
  <c r="A134" i="53"/>
  <c r="A201" i="53" s="1"/>
  <c r="A78" i="53"/>
  <c r="A146" i="53"/>
  <c r="A213" i="53" s="1"/>
  <c r="E29" i="48"/>
  <c r="E39" i="48" s="1"/>
  <c r="G29" i="48"/>
  <c r="G39" i="48" s="1"/>
  <c r="I29" i="48"/>
  <c r="F29" i="48"/>
  <c r="F39" i="48" s="1"/>
  <c r="H29" i="48"/>
  <c r="H39" i="48" s="1"/>
  <c r="J29" i="48"/>
  <c r="E44" i="48"/>
  <c r="H44" i="48"/>
  <c r="I44" i="48"/>
  <c r="J44" i="48"/>
  <c r="F44" i="48"/>
  <c r="G44" i="48"/>
  <c r="C41" i="53"/>
  <c r="C94" i="53" s="1"/>
  <c r="G34" i="42"/>
  <c r="A164" i="53"/>
  <c r="A231" i="53" s="1"/>
  <c r="A96" i="53"/>
  <c r="A160" i="53"/>
  <c r="A227" i="53" s="1"/>
  <c r="A92" i="53"/>
  <c r="A156" i="53"/>
  <c r="A223" i="53" s="1"/>
  <c r="A88" i="53"/>
  <c r="A72" i="53"/>
  <c r="A140" i="53"/>
  <c r="A207" i="53" s="1"/>
  <c r="A74" i="53"/>
  <c r="A142" i="53"/>
  <c r="A209" i="53" s="1"/>
  <c r="A76" i="53"/>
  <c r="A144" i="53"/>
  <c r="A211" i="53" s="1"/>
  <c r="A68" i="53"/>
  <c r="A136" i="53"/>
  <c r="A203" i="53" s="1"/>
  <c r="C39" i="53"/>
  <c r="C92" i="53" s="1"/>
  <c r="I199" i="55"/>
  <c r="J199" i="55"/>
  <c r="I17" i="42"/>
  <c r="H27" i="42"/>
  <c r="H28" i="42"/>
  <c r="H29" i="42"/>
  <c r="H37" i="42"/>
  <c r="H43" i="42" s="1"/>
  <c r="F34" i="21" s="1"/>
  <c r="A168" i="53"/>
  <c r="A235" i="53" s="1"/>
  <c r="A100" i="53"/>
  <c r="A132" i="53"/>
  <c r="A199" i="53" s="1"/>
  <c r="A64" i="53"/>
  <c r="E54" i="22" l="1"/>
  <c r="G124" i="29"/>
  <c r="G139" i="29"/>
  <c r="G154" i="29"/>
  <c r="G169" i="29"/>
  <c r="E169" i="84"/>
  <c r="F169" i="84"/>
  <c r="D168" i="84"/>
  <c r="F168" i="84" s="1"/>
  <c r="H130" i="84"/>
  <c r="H170" i="84" s="1"/>
  <c r="G169" i="84"/>
  <c r="G171" i="84"/>
  <c r="I54" i="22"/>
  <c r="D6" i="62"/>
  <c r="F6" i="62" s="1"/>
  <c r="D115" i="57"/>
  <c r="D120" i="57" s="1"/>
  <c r="D10" i="62" s="1"/>
  <c r="G54" i="22"/>
  <c r="K53" i="22"/>
  <c r="K54" i="22" s="1"/>
  <c r="K55" i="22" s="1"/>
  <c r="F54" i="22"/>
  <c r="C54" i="22"/>
  <c r="C55" i="22" s="1"/>
  <c r="D55" i="22" s="1"/>
  <c r="E55" i="22" s="1"/>
  <c r="D44" i="22"/>
  <c r="E41" i="22" s="1"/>
  <c r="E44" i="22" s="1"/>
  <c r="D43" i="22"/>
  <c r="E43" i="22" s="1"/>
  <c r="F43" i="22" s="1"/>
  <c r="G43" i="22" s="1"/>
  <c r="H54" i="22"/>
  <c r="K42" i="22"/>
  <c r="K43" i="22" s="1"/>
  <c r="C48" i="22"/>
  <c r="C49" i="22" s="1"/>
  <c r="K47" i="22"/>
  <c r="E48" i="22"/>
  <c r="I48" i="22"/>
  <c r="D48" i="22"/>
  <c r="F48" i="22"/>
  <c r="H48" i="22"/>
  <c r="G48" i="22"/>
  <c r="E14" i="21"/>
  <c r="C33" i="53"/>
  <c r="C86" i="53" s="1"/>
  <c r="D221" i="53" s="1"/>
  <c r="C35" i="53"/>
  <c r="C88" i="53" s="1"/>
  <c r="H35" i="61"/>
  <c r="E11" i="21"/>
  <c r="D161" i="53"/>
  <c r="D228" i="53"/>
  <c r="C57" i="53"/>
  <c r="C110" i="53" s="1"/>
  <c r="C34" i="53"/>
  <c r="C87" i="53" s="1"/>
  <c r="E35" i="61"/>
  <c r="B11" i="21"/>
  <c r="C9" i="53"/>
  <c r="C62" i="53" s="1"/>
  <c r="C15" i="53"/>
  <c r="C68" i="53" s="1"/>
  <c r="C36" i="53"/>
  <c r="C89" i="53" s="1"/>
  <c r="D33" i="53"/>
  <c r="D86" i="53" s="1"/>
  <c r="D39" i="53"/>
  <c r="D92" i="53" s="1"/>
  <c r="C16" i="53"/>
  <c r="C69" i="53" s="1"/>
  <c r="C13" i="53"/>
  <c r="C66" i="53" s="1"/>
  <c r="F35" i="61"/>
  <c r="C11" i="21"/>
  <c r="J219" i="53"/>
  <c r="J214" i="53"/>
  <c r="J243" i="53"/>
  <c r="J205" i="53"/>
  <c r="J152" i="53"/>
  <c r="J268" i="53"/>
  <c r="J265" i="53"/>
  <c r="J266" i="53"/>
  <c r="J267" i="53"/>
  <c r="B35" i="55"/>
  <c r="C10" i="53"/>
  <c r="C63" i="53" s="1"/>
  <c r="C30" i="22"/>
  <c r="C31" i="22" s="1"/>
  <c r="F30" i="22"/>
  <c r="E30" i="22"/>
  <c r="D30" i="22"/>
  <c r="H30" i="22"/>
  <c r="G30" i="22"/>
  <c r="I30" i="22"/>
  <c r="K29" i="22"/>
  <c r="C37" i="53"/>
  <c r="C90" i="53" s="1"/>
  <c r="H34" i="42"/>
  <c r="B43" i="55"/>
  <c r="B100" i="55" s="1"/>
  <c r="D160" i="53"/>
  <c r="D227" i="53"/>
  <c r="C38" i="53"/>
  <c r="C91" i="53" s="1"/>
  <c r="C56" i="53"/>
  <c r="C109" i="53" s="1"/>
  <c r="H51" i="61"/>
  <c r="E24" i="21"/>
  <c r="G45" i="42"/>
  <c r="G47" i="42" s="1"/>
  <c r="D41" i="53"/>
  <c r="D94" i="53" s="1"/>
  <c r="C54" i="53"/>
  <c r="C107" i="53" s="1"/>
  <c r="J33" i="48"/>
  <c r="K23" i="48"/>
  <c r="J35" i="48"/>
  <c r="J31" i="48"/>
  <c r="J36" i="48"/>
  <c r="J32" i="48"/>
  <c r="J37" i="48"/>
  <c r="J28" i="48"/>
  <c r="J34" i="48"/>
  <c r="J38" i="48"/>
  <c r="J52" i="48"/>
  <c r="J56" i="48" s="1"/>
  <c r="G35" i="21" s="1"/>
  <c r="I218" i="53"/>
  <c r="I151" i="53"/>
  <c r="E43" i="48"/>
  <c r="E49" i="48" s="1"/>
  <c r="K43" i="48"/>
  <c r="I43" i="48"/>
  <c r="I49" i="48" s="1"/>
  <c r="J43" i="48"/>
  <c r="J49" i="48" s="1"/>
  <c r="F43" i="48"/>
  <c r="F49" i="48" s="1"/>
  <c r="G43" i="48"/>
  <c r="G49" i="48" s="1"/>
  <c r="H43" i="48"/>
  <c r="H49" i="48" s="1"/>
  <c r="C55" i="53"/>
  <c r="C108" i="53" s="1"/>
  <c r="B42" i="55"/>
  <c r="B99" i="55" s="1"/>
  <c r="J30" i="48"/>
  <c r="B41" i="55"/>
  <c r="B98" i="55" s="1"/>
  <c r="J17" i="42"/>
  <c r="I27" i="42"/>
  <c r="I28" i="42"/>
  <c r="I29" i="42"/>
  <c r="I37" i="42"/>
  <c r="I43" i="42" s="1"/>
  <c r="G34" i="21" s="1"/>
  <c r="I21" i="42"/>
  <c r="I23" i="42" s="1"/>
  <c r="C12" i="53"/>
  <c r="C65" i="53" s="1"/>
  <c r="C11" i="53"/>
  <c r="C64" i="53" s="1"/>
  <c r="D162" i="53"/>
  <c r="D229" i="53"/>
  <c r="G35" i="61"/>
  <c r="D11" i="21"/>
  <c r="I39" i="48"/>
  <c r="J218" i="53"/>
  <c r="J151" i="53"/>
  <c r="C14" i="53"/>
  <c r="C67" i="53" s="1"/>
  <c r="G34" i="29"/>
  <c r="C50" i="22" l="1"/>
  <c r="D47" i="22" s="1"/>
  <c r="E21" i="62"/>
  <c r="C10" i="68" s="1"/>
  <c r="C140" i="29"/>
  <c r="C155" i="29"/>
  <c r="C170" i="29"/>
  <c r="C125" i="29"/>
  <c r="E140" i="29"/>
  <c r="E155" i="29"/>
  <c r="E170" i="29"/>
  <c r="E125" i="29"/>
  <c r="D125" i="29"/>
  <c r="D140" i="29"/>
  <c r="D155" i="29"/>
  <c r="D170" i="29"/>
  <c r="F125" i="29"/>
  <c r="F140" i="29"/>
  <c r="F155" i="29"/>
  <c r="F170" i="29"/>
  <c r="D172" i="84"/>
  <c r="B37" i="21" s="1"/>
  <c r="B40" i="21" s="1"/>
  <c r="C131" i="29" s="1"/>
  <c r="F172" i="84"/>
  <c r="D37" i="21" s="1"/>
  <c r="D40" i="21" s="1"/>
  <c r="G168" i="84"/>
  <c r="G172" i="84" s="1"/>
  <c r="E168" i="84"/>
  <c r="E172" i="84" s="1"/>
  <c r="C37" i="21" s="1"/>
  <c r="C40" i="21" s="1"/>
  <c r="D131" i="29" s="1"/>
  <c r="H78" i="22"/>
  <c r="D78" i="22"/>
  <c r="G78" i="22"/>
  <c r="C78" i="22"/>
  <c r="I78" i="22"/>
  <c r="F78" i="22"/>
  <c r="E78" i="22"/>
  <c r="C56" i="22"/>
  <c r="D53" i="22" s="1"/>
  <c r="D56" i="22" s="1"/>
  <c r="E53" i="22" s="1"/>
  <c r="E56" i="22" s="1"/>
  <c r="F53" i="22" s="1"/>
  <c r="F56" i="22" s="1"/>
  <c r="G53" i="22" s="1"/>
  <c r="G56" i="22" s="1"/>
  <c r="H53" i="22" s="1"/>
  <c r="H56" i="22" s="1"/>
  <c r="I53" i="22" s="1"/>
  <c r="I56" i="22" s="1"/>
  <c r="F55" i="22"/>
  <c r="G55" i="22" s="1"/>
  <c r="H55" i="22" s="1"/>
  <c r="I55" i="22" s="1"/>
  <c r="I130" i="84"/>
  <c r="I170" i="84" s="1"/>
  <c r="H171" i="84"/>
  <c r="H168" i="84"/>
  <c r="H169" i="84"/>
  <c r="C32" i="22"/>
  <c r="D29" i="22" s="1"/>
  <c r="D32" i="22" s="1"/>
  <c r="E29" i="22" s="1"/>
  <c r="E32" i="22" s="1"/>
  <c r="F29" i="22" s="1"/>
  <c r="F32" i="22" s="1"/>
  <c r="G29" i="22" s="1"/>
  <c r="G32" i="22" s="1"/>
  <c r="H29" i="22" s="1"/>
  <c r="H32" i="22" s="1"/>
  <c r="I29" i="22" s="1"/>
  <c r="I32" i="22" s="1"/>
  <c r="C35" i="22"/>
  <c r="E36" i="22" s="1"/>
  <c r="E58" i="22" s="1"/>
  <c r="D46" i="21" s="1"/>
  <c r="C18" i="68"/>
  <c r="C22" i="68"/>
  <c r="F10" i="62"/>
  <c r="F12" i="62" s="1"/>
  <c r="E20" i="62" s="1"/>
  <c r="B35" i="69" s="1"/>
  <c r="C35" i="69" s="1"/>
  <c r="D35" i="69" s="1"/>
  <c r="E35" i="69" s="1"/>
  <c r="F35" i="69" s="1"/>
  <c r="G35" i="69" s="1"/>
  <c r="H35" i="69" s="1"/>
  <c r="K44" i="22"/>
  <c r="L41" i="22" s="1"/>
  <c r="L42" i="22" s="1"/>
  <c r="L44" i="22" s="1"/>
  <c r="M41" i="22" s="1"/>
  <c r="D50" i="22"/>
  <c r="E47" i="22" s="1"/>
  <c r="E50" i="22" s="1"/>
  <c r="F47" i="22" s="1"/>
  <c r="F50" i="22" s="1"/>
  <c r="G47" i="22" s="1"/>
  <c r="G50" i="22" s="1"/>
  <c r="H47" i="22" s="1"/>
  <c r="H50" i="22" s="1"/>
  <c r="I47" i="22" s="1"/>
  <c r="I50" i="22" s="1"/>
  <c r="K48" i="22"/>
  <c r="K49" i="22" s="1"/>
  <c r="D49" i="22"/>
  <c r="E49" i="22" s="1"/>
  <c r="F49" i="22" s="1"/>
  <c r="G49" i="22" s="1"/>
  <c r="H49" i="22" s="1"/>
  <c r="I49" i="22" s="1"/>
  <c r="F14" i="21"/>
  <c r="D40" i="53"/>
  <c r="D93" i="53" s="1"/>
  <c r="E161" i="53" s="1"/>
  <c r="D154" i="53"/>
  <c r="D223" i="53"/>
  <c r="D156" i="53"/>
  <c r="D35" i="53"/>
  <c r="D88" i="53" s="1"/>
  <c r="B37" i="55"/>
  <c r="B94" i="55" s="1"/>
  <c r="C51" i="53"/>
  <c r="C104" i="53" s="1"/>
  <c r="D172" i="53" s="1"/>
  <c r="C23" i="53"/>
  <c r="C76" i="53" s="1"/>
  <c r="D135" i="53"/>
  <c r="D202" i="53"/>
  <c r="B36" i="55"/>
  <c r="B93" i="55" s="1"/>
  <c r="J38" i="61"/>
  <c r="G10" i="21"/>
  <c r="I34" i="42"/>
  <c r="C52" i="53"/>
  <c r="C105" i="53" s="1"/>
  <c r="D173" i="53" s="1"/>
  <c r="E25" i="21"/>
  <c r="H48" i="61"/>
  <c r="H57" i="48"/>
  <c r="H59" i="48" s="1"/>
  <c r="I48" i="61"/>
  <c r="F25" i="21"/>
  <c r="I57" i="48"/>
  <c r="J39" i="48"/>
  <c r="D241" i="53"/>
  <c r="D177" i="53"/>
  <c r="D226" i="53"/>
  <c r="D159" i="53"/>
  <c r="C49" i="53"/>
  <c r="C102" i="53" s="1"/>
  <c r="D265" i="55"/>
  <c r="B152" i="55"/>
  <c r="D211" i="55" s="1"/>
  <c r="D158" i="53"/>
  <c r="D225" i="53"/>
  <c r="D10" i="53"/>
  <c r="D63" i="53" s="1"/>
  <c r="C35" i="55"/>
  <c r="J273" i="53"/>
  <c r="H36" i="21" s="1"/>
  <c r="B11" i="55"/>
  <c r="D35" i="29"/>
  <c r="K56" i="22"/>
  <c r="L53" i="22" s="1"/>
  <c r="D16" i="53"/>
  <c r="D69" i="53" s="1"/>
  <c r="E221" i="53"/>
  <c r="E154" i="53"/>
  <c r="C20" i="53"/>
  <c r="C73" i="53" s="1"/>
  <c r="D157" i="53"/>
  <c r="D224" i="53"/>
  <c r="D136" i="53"/>
  <c r="D203" i="53"/>
  <c r="C35" i="29"/>
  <c r="H43" i="22"/>
  <c r="B14" i="55"/>
  <c r="B71" i="55" s="1"/>
  <c r="C47" i="53"/>
  <c r="C100" i="53" s="1"/>
  <c r="C24" i="53"/>
  <c r="C77" i="53" s="1"/>
  <c r="C48" i="53"/>
  <c r="C101" i="53" s="1"/>
  <c r="E40" i="53"/>
  <c r="E93" i="53" s="1"/>
  <c r="J29" i="42"/>
  <c r="J27" i="42"/>
  <c r="J34" i="42" s="1"/>
  <c r="J28" i="42"/>
  <c r="J37" i="42"/>
  <c r="J43" i="42" s="1"/>
  <c r="H34" i="21" s="1"/>
  <c r="J21" i="42"/>
  <c r="J23" i="42" s="1"/>
  <c r="C41" i="55"/>
  <c r="C98" i="55" s="1"/>
  <c r="C18" i="53"/>
  <c r="C71" i="53" s="1"/>
  <c r="B12" i="55"/>
  <c r="B69" i="55" s="1"/>
  <c r="G48" i="61"/>
  <c r="D25" i="21"/>
  <c r="G57" i="48"/>
  <c r="G59" i="48" s="1"/>
  <c r="F24" i="21"/>
  <c r="I51" i="61"/>
  <c r="H45" i="42"/>
  <c r="H47" i="42" s="1"/>
  <c r="D31" i="22"/>
  <c r="E31" i="22" s="1"/>
  <c r="F31" i="22" s="1"/>
  <c r="G31" i="22" s="1"/>
  <c r="H31" i="22" s="1"/>
  <c r="I31" i="22" s="1"/>
  <c r="C19" i="53"/>
  <c r="C72" i="53" s="1"/>
  <c r="D131" i="53"/>
  <c r="D198" i="53"/>
  <c r="B92" i="55"/>
  <c r="B17" i="55"/>
  <c r="B74" i="55" s="1"/>
  <c r="B56" i="55"/>
  <c r="B113" i="55" s="1"/>
  <c r="B58" i="55"/>
  <c r="B115" i="55" s="1"/>
  <c r="D137" i="53"/>
  <c r="D204" i="53"/>
  <c r="B40" i="55"/>
  <c r="B97" i="55" s="1"/>
  <c r="C42" i="53"/>
  <c r="C95" i="53" s="1"/>
  <c r="C50" i="53"/>
  <c r="C103" i="53" s="1"/>
  <c r="E33" i="53"/>
  <c r="E86" i="53" s="1"/>
  <c r="B39" i="55"/>
  <c r="B96" i="55" s="1"/>
  <c r="D9" i="53"/>
  <c r="D62" i="53" s="1"/>
  <c r="B19" i="55"/>
  <c r="B76" i="55" s="1"/>
  <c r="D57" i="53"/>
  <c r="D110" i="53" s="1"/>
  <c r="B38" i="55"/>
  <c r="B95" i="55" s="1"/>
  <c r="D11" i="53"/>
  <c r="D64" i="53" s="1"/>
  <c r="D12" i="53"/>
  <c r="D65" i="53" s="1"/>
  <c r="B150" i="55"/>
  <c r="D209" i="55" s="1"/>
  <c r="D263" i="55"/>
  <c r="C42" i="55"/>
  <c r="C99" i="55" s="1"/>
  <c r="D55" i="53"/>
  <c r="D108" i="53" s="1"/>
  <c r="C25" i="21"/>
  <c r="F48" i="61"/>
  <c r="F57" i="48"/>
  <c r="F59" i="48" s="1"/>
  <c r="E48" i="61"/>
  <c r="B25" i="21"/>
  <c r="E57" i="48"/>
  <c r="E59" i="48" s="1"/>
  <c r="K33" i="48"/>
  <c r="K37" i="48"/>
  <c r="K34" i="48"/>
  <c r="K38" i="48"/>
  <c r="K31" i="48"/>
  <c r="K35" i="48"/>
  <c r="K28" i="48"/>
  <c r="K32" i="48"/>
  <c r="K36" i="48"/>
  <c r="K52" i="48"/>
  <c r="K56" i="48" s="1"/>
  <c r="H35" i="21" s="1"/>
  <c r="K29" i="48"/>
  <c r="K44" i="48"/>
  <c r="K49" i="48" s="1"/>
  <c r="K30" i="48"/>
  <c r="D54" i="53"/>
  <c r="D107" i="53" s="1"/>
  <c r="E229" i="53"/>
  <c r="E162" i="53"/>
  <c r="B15" i="55"/>
  <c r="B72" i="55" s="1"/>
  <c r="C29" i="53"/>
  <c r="C82" i="53" s="1"/>
  <c r="C45" i="53"/>
  <c r="C98" i="53" s="1"/>
  <c r="C53" i="53"/>
  <c r="C106" i="53" s="1"/>
  <c r="D174" i="53" s="1"/>
  <c r="K30" i="22"/>
  <c r="K31" i="22" s="1"/>
  <c r="D13" i="53"/>
  <c r="D66" i="53" s="1"/>
  <c r="E227" i="53"/>
  <c r="E160" i="53"/>
  <c r="F41" i="22"/>
  <c r="C22" i="53"/>
  <c r="C75" i="53" s="1"/>
  <c r="B16" i="55"/>
  <c r="B73" i="55" s="1"/>
  <c r="D130" i="53"/>
  <c r="D197" i="53"/>
  <c r="B13" i="55"/>
  <c r="B70" i="55" s="1"/>
  <c r="D34" i="53"/>
  <c r="D87" i="53" s="1"/>
  <c r="C27" i="53"/>
  <c r="C80" i="53" s="1"/>
  <c r="D178" i="53"/>
  <c r="D242" i="53"/>
  <c r="C43" i="53"/>
  <c r="C96" i="53" s="1"/>
  <c r="F35" i="29"/>
  <c r="D14" i="53"/>
  <c r="D67" i="53" s="1"/>
  <c r="I35" i="61"/>
  <c r="F11" i="21"/>
  <c r="I59" i="48"/>
  <c r="E35" i="29"/>
  <c r="D132" i="53"/>
  <c r="D199" i="53"/>
  <c r="D133" i="53"/>
  <c r="D200" i="53"/>
  <c r="B59" i="55"/>
  <c r="B116" i="55" s="1"/>
  <c r="C44" i="53"/>
  <c r="C97" i="53" s="1"/>
  <c r="B151" i="55"/>
  <c r="D210" i="55" s="1"/>
  <c r="D264" i="55"/>
  <c r="C21" i="53"/>
  <c r="C74" i="53" s="1"/>
  <c r="D176" i="53"/>
  <c r="D240" i="53"/>
  <c r="G25" i="21"/>
  <c r="J48" i="61"/>
  <c r="J57" i="48"/>
  <c r="D175" i="53"/>
  <c r="D239" i="53"/>
  <c r="E41" i="53"/>
  <c r="E94" i="53" s="1"/>
  <c r="D56" i="53"/>
  <c r="D109" i="53" s="1"/>
  <c r="B18" i="55"/>
  <c r="B75" i="55" s="1"/>
  <c r="D38" i="53"/>
  <c r="D91" i="53" s="1"/>
  <c r="C43" i="55"/>
  <c r="C100" i="55" s="1"/>
  <c r="D37" i="53"/>
  <c r="D90" i="53" s="1"/>
  <c r="C25" i="53"/>
  <c r="C78" i="53" s="1"/>
  <c r="B57" i="55"/>
  <c r="B114" i="55" s="1"/>
  <c r="D134" i="53"/>
  <c r="D201" i="53"/>
  <c r="B30" i="55"/>
  <c r="B87" i="55" s="1"/>
  <c r="C46" i="53"/>
  <c r="C99" i="53" s="1"/>
  <c r="E39" i="53"/>
  <c r="E92" i="53" s="1"/>
  <c r="D45" i="83"/>
  <c r="D36" i="53"/>
  <c r="D89" i="53" s="1"/>
  <c r="D15" i="53"/>
  <c r="D68" i="53" s="1"/>
  <c r="D155" i="53"/>
  <c r="D222" i="53"/>
  <c r="C28" i="53"/>
  <c r="C81" i="53" s="1"/>
  <c r="D4" i="23" l="1"/>
  <c r="C10" i="23" s="1"/>
  <c r="D10" i="23" s="1"/>
  <c r="G140" i="29"/>
  <c r="G155" i="29"/>
  <c r="G170" i="29"/>
  <c r="G125" i="29"/>
  <c r="H124" i="29"/>
  <c r="H139" i="29"/>
  <c r="H154" i="29"/>
  <c r="H169" i="29"/>
  <c r="C161" i="29"/>
  <c r="C176" i="29"/>
  <c r="C146" i="29"/>
  <c r="C25" i="68"/>
  <c r="D176" i="29"/>
  <c r="D146" i="29"/>
  <c r="D161" i="29"/>
  <c r="D25" i="68"/>
  <c r="H47" i="21"/>
  <c r="I79" i="22"/>
  <c r="G47" i="21"/>
  <c r="H79" i="22"/>
  <c r="E161" i="29"/>
  <c r="E146" i="29"/>
  <c r="E131" i="29"/>
  <c r="E176" i="29"/>
  <c r="I36" i="22"/>
  <c r="I58" i="22" s="1"/>
  <c r="H46" i="21" s="1"/>
  <c r="I57" i="29" s="1"/>
  <c r="H172" i="84"/>
  <c r="F37" i="21" s="1"/>
  <c r="F40" i="21" s="1"/>
  <c r="J130" i="84"/>
  <c r="J170" i="84" s="1"/>
  <c r="I168" i="84"/>
  <c r="I169" i="84"/>
  <c r="I171" i="84"/>
  <c r="K35" i="22"/>
  <c r="K36" i="22" s="1"/>
  <c r="K38" i="22" s="1"/>
  <c r="L35" i="22" s="1"/>
  <c r="L36" i="22" s="1"/>
  <c r="C57" i="22"/>
  <c r="B14" i="69" s="1"/>
  <c r="L43" i="22"/>
  <c r="H36" i="22"/>
  <c r="H58" i="22" s="1"/>
  <c r="G15" i="69" s="1"/>
  <c r="C9" i="68"/>
  <c r="C36" i="22"/>
  <c r="C58" i="22" s="1"/>
  <c r="B46" i="21" s="1"/>
  <c r="B88" i="22" s="1"/>
  <c r="D36" i="22"/>
  <c r="D58" i="22" s="1"/>
  <c r="C46" i="21" s="1"/>
  <c r="E93" i="29" s="1"/>
  <c r="F36" i="22"/>
  <c r="F58" i="22" s="1"/>
  <c r="E15" i="69" s="1"/>
  <c r="G36" i="22"/>
  <c r="G58" i="22" s="1"/>
  <c r="F46" i="21" s="1"/>
  <c r="G57" i="29" s="1"/>
  <c r="B47" i="21"/>
  <c r="C79" i="22"/>
  <c r="E47" i="21"/>
  <c r="F79" i="22"/>
  <c r="F47" i="21"/>
  <c r="G79" i="22"/>
  <c r="C47" i="21"/>
  <c r="D79" i="22"/>
  <c r="D47" i="21"/>
  <c r="E79" i="22"/>
  <c r="D15" i="69"/>
  <c r="K50" i="22"/>
  <c r="L47" i="22" s="1"/>
  <c r="L48" i="22" s="1"/>
  <c r="L50" i="22" s="1"/>
  <c r="M47" i="22" s="1"/>
  <c r="M48" i="22" s="1"/>
  <c r="M50" i="22" s="1"/>
  <c r="N47" i="22" s="1"/>
  <c r="N48" i="22" s="1"/>
  <c r="E25" i="68"/>
  <c r="G14" i="21"/>
  <c r="E37" i="21"/>
  <c r="E40" i="21" s="1"/>
  <c r="E228" i="53"/>
  <c r="C118" i="53"/>
  <c r="D187" i="53" s="1"/>
  <c r="E35" i="53"/>
  <c r="E88" i="53" s="1"/>
  <c r="C37" i="55"/>
  <c r="C94" i="55" s="1"/>
  <c r="E223" i="53"/>
  <c r="E156" i="53"/>
  <c r="B146" i="55"/>
  <c r="D205" i="55" s="1"/>
  <c r="D259" i="55"/>
  <c r="K48" i="61"/>
  <c r="H25" i="21"/>
  <c r="K57" i="48"/>
  <c r="B49" i="55"/>
  <c r="B106" i="55" s="1"/>
  <c r="E15" i="53"/>
  <c r="E68" i="53" s="1"/>
  <c r="B22" i="55"/>
  <c r="B79" i="55" s="1"/>
  <c r="D167" i="53"/>
  <c r="D234" i="53"/>
  <c r="D146" i="53"/>
  <c r="D213" i="53"/>
  <c r="D43" i="55"/>
  <c r="D100" i="55" s="1"/>
  <c r="E38" i="53"/>
  <c r="E91" i="53" s="1"/>
  <c r="E56" i="53"/>
  <c r="E109" i="53" s="1"/>
  <c r="C59" i="55"/>
  <c r="C116" i="55" s="1"/>
  <c r="G35" i="29"/>
  <c r="D164" i="53"/>
  <c r="D231" i="53"/>
  <c r="D148" i="53"/>
  <c r="D215" i="53"/>
  <c r="B122" i="55"/>
  <c r="D180" i="55" s="1"/>
  <c r="D235" i="55"/>
  <c r="C114" i="53"/>
  <c r="C16" i="55"/>
  <c r="C73" i="55" s="1"/>
  <c r="E134" i="53"/>
  <c r="E201" i="53"/>
  <c r="D150" i="53"/>
  <c r="D217" i="53"/>
  <c r="E200" i="53"/>
  <c r="E133" i="53"/>
  <c r="B147" i="55"/>
  <c r="D206" i="55" s="1"/>
  <c r="D260" i="55"/>
  <c r="B45" i="55"/>
  <c r="B102" i="55" s="1"/>
  <c r="E9" i="53"/>
  <c r="E62" i="53" s="1"/>
  <c r="B24" i="55"/>
  <c r="B81" i="55" s="1"/>
  <c r="F33" i="53"/>
  <c r="F86" i="53" s="1"/>
  <c r="D171" i="53"/>
  <c r="D238" i="53"/>
  <c r="D262" i="55"/>
  <c r="B149" i="55"/>
  <c r="D208" i="55" s="1"/>
  <c r="B167" i="55"/>
  <c r="D226" i="55" s="1"/>
  <c r="D277" i="55"/>
  <c r="B126" i="55"/>
  <c r="D184" i="55" s="1"/>
  <c r="D239" i="55"/>
  <c r="D140" i="53"/>
  <c r="D207" i="53"/>
  <c r="B47" i="55"/>
  <c r="B104" i="55" s="1"/>
  <c r="B121" i="55"/>
  <c r="D179" i="55" s="1"/>
  <c r="D234" i="55"/>
  <c r="E263" i="55"/>
  <c r="C150" i="55"/>
  <c r="E209" i="55" s="1"/>
  <c r="F161" i="53"/>
  <c r="F228" i="53"/>
  <c r="B29" i="55"/>
  <c r="B86" i="55" s="1"/>
  <c r="D20" i="53"/>
  <c r="D73" i="53" s="1"/>
  <c r="E204" i="53"/>
  <c r="E137" i="53"/>
  <c r="B68" i="55"/>
  <c r="E198" i="53"/>
  <c r="E131" i="53"/>
  <c r="G11" i="21"/>
  <c r="J35" i="61"/>
  <c r="J59" i="48"/>
  <c r="B145" i="55"/>
  <c r="D204" i="55" s="1"/>
  <c r="D258" i="55"/>
  <c r="D28" i="53"/>
  <c r="D81" i="53" s="1"/>
  <c r="E157" i="53"/>
  <c r="E224" i="53"/>
  <c r="C30" i="55"/>
  <c r="C87" i="55" s="1"/>
  <c r="B166" i="55"/>
  <c r="D225" i="55" s="1"/>
  <c r="D276" i="55"/>
  <c r="F229" i="53"/>
  <c r="F162" i="53"/>
  <c r="B25" i="55"/>
  <c r="B82" i="55" s="1"/>
  <c r="E155" i="53"/>
  <c r="E222" i="53"/>
  <c r="B125" i="55"/>
  <c r="D183" i="55" s="1"/>
  <c r="D238" i="55"/>
  <c r="F44" i="22"/>
  <c r="E13" i="53"/>
  <c r="E66" i="53" s="1"/>
  <c r="D53" i="53"/>
  <c r="D106" i="53" s="1"/>
  <c r="E174" i="53" s="1"/>
  <c r="D45" i="53"/>
  <c r="D98" i="53" s="1"/>
  <c r="C15" i="55"/>
  <c r="C72" i="55" s="1"/>
  <c r="E239" i="53"/>
  <c r="E175" i="53"/>
  <c r="K39" i="48"/>
  <c r="B23" i="55"/>
  <c r="B80" i="55" s="1"/>
  <c r="M42" i="22"/>
  <c r="B46" i="55"/>
  <c r="B103" i="55" s="1"/>
  <c r="E12" i="53"/>
  <c r="E65" i="53" s="1"/>
  <c r="C38" i="55"/>
  <c r="C95" i="55" s="1"/>
  <c r="E242" i="53"/>
  <c r="E178" i="53"/>
  <c r="C19" i="55"/>
  <c r="C76" i="55" s="1"/>
  <c r="C39" i="55"/>
  <c r="C96" i="55" s="1"/>
  <c r="D42" i="53"/>
  <c r="D95" i="53" s="1"/>
  <c r="C56" i="55"/>
  <c r="C113" i="55" s="1"/>
  <c r="D18" i="53"/>
  <c r="D71" i="53" s="1"/>
  <c r="D41" i="55"/>
  <c r="D98" i="55" s="1"/>
  <c r="H24" i="21"/>
  <c r="K51" i="61"/>
  <c r="J45" i="42"/>
  <c r="F40" i="53"/>
  <c r="F93" i="53" s="1"/>
  <c r="B28" i="55"/>
  <c r="B85" i="55" s="1"/>
  <c r="D47" i="53"/>
  <c r="D100" i="53" s="1"/>
  <c r="C14" i="55"/>
  <c r="C71" i="55" s="1"/>
  <c r="D141" i="53"/>
  <c r="D208" i="53"/>
  <c r="B44" i="55"/>
  <c r="B101" i="55" s="1"/>
  <c r="E16" i="53"/>
  <c r="E69" i="53" s="1"/>
  <c r="L54" i="22"/>
  <c r="L55" i="22" s="1"/>
  <c r="E10" i="53"/>
  <c r="E63" i="53" s="1"/>
  <c r="D52" i="53"/>
  <c r="D105" i="53" s="1"/>
  <c r="E173" i="53" s="1"/>
  <c r="H34" i="29"/>
  <c r="D23" i="53"/>
  <c r="D76" i="53" s="1"/>
  <c r="F227" i="53"/>
  <c r="F160" i="53"/>
  <c r="E225" i="53"/>
  <c r="E158" i="53"/>
  <c r="C18" i="55"/>
  <c r="C75" i="55" s="1"/>
  <c r="D278" i="55"/>
  <c r="B168" i="55"/>
  <c r="D227" i="55" s="1"/>
  <c r="D149" i="53"/>
  <c r="D216" i="53"/>
  <c r="E45" i="83"/>
  <c r="E36" i="53"/>
  <c r="E89" i="53" s="1"/>
  <c r="F39" i="53"/>
  <c r="F92" i="53" s="1"/>
  <c r="B139" i="55"/>
  <c r="D197" i="55" s="1"/>
  <c r="D252" i="55"/>
  <c r="C57" i="55"/>
  <c r="C114" i="55" s="1"/>
  <c r="E37" i="53"/>
  <c r="E90" i="53" s="1"/>
  <c r="B51" i="55"/>
  <c r="B108" i="55" s="1"/>
  <c r="B127" i="55"/>
  <c r="D185" i="55" s="1"/>
  <c r="D240" i="55"/>
  <c r="F41" i="53"/>
  <c r="F94" i="53" s="1"/>
  <c r="D21" i="53"/>
  <c r="D74" i="53" s="1"/>
  <c r="D44" i="53"/>
  <c r="D97" i="53" s="1"/>
  <c r="E202" i="53"/>
  <c r="E135" i="53"/>
  <c r="E34" i="53"/>
  <c r="E87" i="53" s="1"/>
  <c r="C119" i="53"/>
  <c r="D22" i="53"/>
  <c r="D75" i="53" s="1"/>
  <c r="B27" i="55"/>
  <c r="B84" i="55" s="1"/>
  <c r="K32" i="22"/>
  <c r="D166" i="53"/>
  <c r="D233" i="53"/>
  <c r="B124" i="55"/>
  <c r="D182" i="55" s="1"/>
  <c r="D237" i="55"/>
  <c r="E54" i="53"/>
  <c r="E107" i="53" s="1"/>
  <c r="E176" i="53"/>
  <c r="E240" i="53"/>
  <c r="E264" i="55"/>
  <c r="C151" i="55"/>
  <c r="E210" i="55" s="1"/>
  <c r="E132" i="53"/>
  <c r="E199" i="53"/>
  <c r="E57" i="53"/>
  <c r="E110" i="53" s="1"/>
  <c r="B128" i="55"/>
  <c r="D186" i="55" s="1"/>
  <c r="D241" i="55"/>
  <c r="B148" i="55"/>
  <c r="D207" i="55" s="1"/>
  <c r="D261" i="55"/>
  <c r="D163" i="53"/>
  <c r="D230" i="53"/>
  <c r="B165" i="55"/>
  <c r="D224" i="55" s="1"/>
  <c r="D275" i="55"/>
  <c r="D257" i="55"/>
  <c r="B144" i="55"/>
  <c r="D203" i="55" s="1"/>
  <c r="B31" i="55"/>
  <c r="B88" i="55" s="1"/>
  <c r="D139" i="53"/>
  <c r="D206" i="53"/>
  <c r="H10" i="21"/>
  <c r="K38" i="61"/>
  <c r="J47" i="42"/>
  <c r="D48" i="53"/>
  <c r="D101" i="53" s="1"/>
  <c r="D24" i="53"/>
  <c r="D77" i="53" s="1"/>
  <c r="D168" i="53"/>
  <c r="D235" i="53"/>
  <c r="B123" i="55"/>
  <c r="D181" i="55" s="1"/>
  <c r="D236" i="55"/>
  <c r="I43" i="22"/>
  <c r="C92" i="55"/>
  <c r="D49" i="53"/>
  <c r="D102" i="53" s="1"/>
  <c r="B20" i="55"/>
  <c r="B77" i="55" s="1"/>
  <c r="B50" i="55"/>
  <c r="B107" i="55" s="1"/>
  <c r="D144" i="53"/>
  <c r="D211" i="53"/>
  <c r="E136" i="53"/>
  <c r="E203" i="53"/>
  <c r="D46" i="53"/>
  <c r="D99" i="53" s="1"/>
  <c r="D25" i="53"/>
  <c r="D78" i="53" s="1"/>
  <c r="E265" i="55"/>
  <c r="C152" i="55"/>
  <c r="E211" i="55" s="1"/>
  <c r="E159" i="53"/>
  <c r="E226" i="53"/>
  <c r="E241" i="53"/>
  <c r="E177" i="53"/>
  <c r="D142" i="53"/>
  <c r="D209" i="53"/>
  <c r="E107" i="29"/>
  <c r="D88" i="22"/>
  <c r="F93" i="29"/>
  <c r="E57" i="29"/>
  <c r="F11" i="29"/>
  <c r="D165" i="53"/>
  <c r="D232" i="53"/>
  <c r="E14" i="53"/>
  <c r="E67" i="53" s="1"/>
  <c r="D43" i="53"/>
  <c r="D96" i="53" s="1"/>
  <c r="D27" i="53"/>
  <c r="D80" i="53" s="1"/>
  <c r="C13" i="55"/>
  <c r="C70" i="55" s="1"/>
  <c r="C116" i="53"/>
  <c r="C115" i="53"/>
  <c r="D143" i="53"/>
  <c r="D210" i="53"/>
  <c r="B48" i="55"/>
  <c r="B105" i="55" s="1"/>
  <c r="D29" i="53"/>
  <c r="D82" i="53" s="1"/>
  <c r="E55" i="53"/>
  <c r="E108" i="53" s="1"/>
  <c r="D42" i="55"/>
  <c r="D99" i="55" s="1"/>
  <c r="E11" i="53"/>
  <c r="E64" i="53" s="1"/>
  <c r="B26" i="55"/>
  <c r="B83" i="55" s="1"/>
  <c r="E130" i="53"/>
  <c r="E197" i="53"/>
  <c r="F221" i="53"/>
  <c r="F154" i="53"/>
  <c r="D50" i="53"/>
  <c r="D103" i="53" s="1"/>
  <c r="C40" i="55"/>
  <c r="C97" i="55" s="1"/>
  <c r="C58" i="55"/>
  <c r="C115" i="55" s="1"/>
  <c r="C17" i="55"/>
  <c r="C74" i="55" s="1"/>
  <c r="D19" i="53"/>
  <c r="D72" i="53" s="1"/>
  <c r="C12" i="55"/>
  <c r="C69" i="55" s="1"/>
  <c r="D169" i="53"/>
  <c r="D236" i="53"/>
  <c r="D145" i="53"/>
  <c r="D212" i="53"/>
  <c r="B52" i="55"/>
  <c r="B109" i="55" s="1"/>
  <c r="C11" i="55"/>
  <c r="D35" i="55"/>
  <c r="B21" i="55"/>
  <c r="B78" i="55" s="1"/>
  <c r="D170" i="53"/>
  <c r="D237" i="53"/>
  <c r="G24" i="21"/>
  <c r="J51" i="61"/>
  <c r="I45" i="42"/>
  <c r="I47" i="42" s="1"/>
  <c r="C36" i="55"/>
  <c r="C93" i="55" s="1"/>
  <c r="D51" i="53"/>
  <c r="D104" i="53" s="1"/>
  <c r="E172" i="53" s="1"/>
  <c r="M43" i="22" l="1"/>
  <c r="D8" i="23"/>
  <c r="F58" i="23" s="1"/>
  <c r="D107" i="29"/>
  <c r="H125" i="29"/>
  <c r="H140" i="29"/>
  <c r="H155" i="29"/>
  <c r="H170" i="29"/>
  <c r="I124" i="29"/>
  <c r="I139" i="29"/>
  <c r="I154" i="29"/>
  <c r="I169" i="29"/>
  <c r="K58" i="22"/>
  <c r="B89" i="22" s="1"/>
  <c r="E11" i="29"/>
  <c r="C88" i="22"/>
  <c r="H88" i="22"/>
  <c r="H15" i="69"/>
  <c r="D57" i="29"/>
  <c r="G46" i="21"/>
  <c r="H57" i="29" s="1"/>
  <c r="K37" i="22"/>
  <c r="K59" i="22" s="1"/>
  <c r="K57" i="22"/>
  <c r="H108" i="29"/>
  <c r="I94" i="29"/>
  <c r="I12" i="29"/>
  <c r="H58" i="29"/>
  <c r="I108" i="29"/>
  <c r="J94" i="29"/>
  <c r="J12" i="29"/>
  <c r="I58" i="29"/>
  <c r="F146" i="29"/>
  <c r="F161" i="29"/>
  <c r="F176" i="29"/>
  <c r="F131" i="29"/>
  <c r="G176" i="29"/>
  <c r="G161" i="29"/>
  <c r="G146" i="29"/>
  <c r="G131" i="29"/>
  <c r="J11" i="29"/>
  <c r="J93" i="29"/>
  <c r="I107" i="29"/>
  <c r="B15" i="69"/>
  <c r="B16" i="69" s="1"/>
  <c r="D93" i="29"/>
  <c r="C37" i="22"/>
  <c r="D37" i="22" s="1"/>
  <c r="C38" i="22"/>
  <c r="C60" i="22" s="1"/>
  <c r="E46" i="21"/>
  <c r="G93" i="29" s="1"/>
  <c r="C107" i="29"/>
  <c r="D11" i="29"/>
  <c r="C57" i="29"/>
  <c r="B19" i="69"/>
  <c r="C19" i="69" s="1"/>
  <c r="D19" i="69" s="1"/>
  <c r="E19" i="69" s="1"/>
  <c r="F19" i="69" s="1"/>
  <c r="G19" i="69" s="1"/>
  <c r="H19" i="69" s="1"/>
  <c r="I172" i="84"/>
  <c r="J168" i="84"/>
  <c r="J169" i="84"/>
  <c r="J171" i="84"/>
  <c r="F15" i="69"/>
  <c r="C15" i="69"/>
  <c r="D108" i="29"/>
  <c r="D58" i="29"/>
  <c r="E12" i="29"/>
  <c r="E94" i="29"/>
  <c r="F108" i="29"/>
  <c r="F58" i="29"/>
  <c r="G94" i="29"/>
  <c r="G12" i="29"/>
  <c r="E58" i="29"/>
  <c r="F94" i="29"/>
  <c r="E108" i="29"/>
  <c r="F12" i="29"/>
  <c r="H12" i="29"/>
  <c r="G58" i="29"/>
  <c r="H94" i="29"/>
  <c r="G108" i="29"/>
  <c r="C58" i="29"/>
  <c r="C108" i="29"/>
  <c r="D94" i="29"/>
  <c r="D12" i="29"/>
  <c r="L49" i="22"/>
  <c r="M49" i="22" s="1"/>
  <c r="N49" i="22" s="1"/>
  <c r="H93" i="29"/>
  <c r="F88" i="22"/>
  <c r="G107" i="29"/>
  <c r="H11" i="29"/>
  <c r="N50" i="22"/>
  <c r="O47" i="22" s="1"/>
  <c r="O48" i="22" s="1"/>
  <c r="L38" i="22"/>
  <c r="M35" i="22" s="1"/>
  <c r="G25" i="68"/>
  <c r="F25" i="68"/>
  <c r="H14" i="21"/>
  <c r="D250" i="53"/>
  <c r="D37" i="55"/>
  <c r="D94" i="55" s="1"/>
  <c r="C146" i="55"/>
  <c r="E205" i="55" s="1"/>
  <c r="E259" i="55"/>
  <c r="F35" i="53"/>
  <c r="F88" i="53" s="1"/>
  <c r="D116" i="53"/>
  <c r="E184" i="53" s="1"/>
  <c r="D254" i="53"/>
  <c r="F223" i="53"/>
  <c r="F156" i="53"/>
  <c r="E247" i="53"/>
  <c r="E35" i="55"/>
  <c r="B161" i="55"/>
  <c r="D220" i="55" s="1"/>
  <c r="D274" i="55"/>
  <c r="E234" i="55"/>
  <c r="C121" i="55"/>
  <c r="E179" i="55" s="1"/>
  <c r="C126" i="55"/>
  <c r="E184" i="55" s="1"/>
  <c r="E239" i="55"/>
  <c r="E262" i="55"/>
  <c r="C149" i="55"/>
  <c r="E208" i="55" s="1"/>
  <c r="D119" i="53"/>
  <c r="B135" i="55"/>
  <c r="D193" i="55" s="1"/>
  <c r="D248" i="55"/>
  <c r="E42" i="55"/>
  <c r="E99" i="55" s="1"/>
  <c r="E29" i="53"/>
  <c r="E82" i="53" s="1"/>
  <c r="D184" i="53"/>
  <c r="D247" i="53"/>
  <c r="E27" i="53"/>
  <c r="E80" i="53" s="1"/>
  <c r="F202" i="53"/>
  <c r="F135" i="53"/>
  <c r="B159" i="55"/>
  <c r="D218" i="55" s="1"/>
  <c r="D272" i="55"/>
  <c r="B129" i="55"/>
  <c r="D187" i="55" s="1"/>
  <c r="D242" i="55"/>
  <c r="E49" i="53"/>
  <c r="E102" i="53" s="1"/>
  <c r="E145" i="53"/>
  <c r="E212" i="53"/>
  <c r="E169" i="53"/>
  <c r="E236" i="53"/>
  <c r="I34" i="29"/>
  <c r="L29" i="22"/>
  <c r="K60" i="22"/>
  <c r="D188" i="53"/>
  <c r="D251" i="53"/>
  <c r="G41" i="53"/>
  <c r="G94" i="53" s="1"/>
  <c r="B160" i="55"/>
  <c r="D219" i="55" s="1"/>
  <c r="D273" i="55"/>
  <c r="D57" i="55"/>
  <c r="D114" i="55" s="1"/>
  <c r="G39" i="53"/>
  <c r="G92" i="53" s="1"/>
  <c r="D18" i="55"/>
  <c r="D75" i="55" s="1"/>
  <c r="E23" i="53"/>
  <c r="E76" i="53" s="1"/>
  <c r="F10" i="53"/>
  <c r="F63" i="53" s="1"/>
  <c r="F16" i="53"/>
  <c r="F69" i="53" s="1"/>
  <c r="E47" i="53"/>
  <c r="E100" i="53" s="1"/>
  <c r="G228" i="53"/>
  <c r="G161" i="53"/>
  <c r="E18" i="53"/>
  <c r="E71" i="53" s="1"/>
  <c r="B61" i="55"/>
  <c r="E42" i="53"/>
  <c r="E95" i="53" s="1"/>
  <c r="D38" i="55"/>
  <c r="D95" i="55" s="1"/>
  <c r="B155" i="55"/>
  <c r="D214" i="55" s="1"/>
  <c r="D268" i="55"/>
  <c r="C23" i="55"/>
  <c r="C80" i="55" s="1"/>
  <c r="E45" i="53"/>
  <c r="E98" i="53" s="1"/>
  <c r="F134" i="53"/>
  <c r="F201" i="53"/>
  <c r="C25" i="55"/>
  <c r="C82" i="55" s="1"/>
  <c r="B120" i="55"/>
  <c r="D233" i="55"/>
  <c r="C29" i="55"/>
  <c r="C86" i="55" s="1"/>
  <c r="C47" i="55"/>
  <c r="C104" i="55" s="1"/>
  <c r="G33" i="53"/>
  <c r="G86" i="53" s="1"/>
  <c r="F9" i="53"/>
  <c r="F62" i="53" s="1"/>
  <c r="C45" i="55"/>
  <c r="C102" i="55" s="1"/>
  <c r="F56" i="53"/>
  <c r="F109" i="53" s="1"/>
  <c r="E43" i="55"/>
  <c r="E100" i="55" s="1"/>
  <c r="B131" i="55"/>
  <c r="D189" i="55" s="1"/>
  <c r="D244" i="55"/>
  <c r="B158" i="55"/>
  <c r="D217" i="55" s="1"/>
  <c r="D271" i="55"/>
  <c r="D36" i="55"/>
  <c r="D93" i="55" s="1"/>
  <c r="C21" i="55"/>
  <c r="C78" i="55" s="1"/>
  <c r="C68" i="55"/>
  <c r="D12" i="55"/>
  <c r="D69" i="55" s="1"/>
  <c r="D17" i="55"/>
  <c r="D74" i="55" s="1"/>
  <c r="D40" i="55"/>
  <c r="D97" i="55" s="1"/>
  <c r="F199" i="53"/>
  <c r="F132" i="53"/>
  <c r="F240" i="53"/>
  <c r="F176" i="53"/>
  <c r="C48" i="55"/>
  <c r="C105" i="55" s="1"/>
  <c r="C122" i="55"/>
  <c r="E180" i="55" s="1"/>
  <c r="E235" i="55"/>
  <c r="E231" i="53"/>
  <c r="E164" i="53"/>
  <c r="F14" i="53"/>
  <c r="F67" i="53" s="1"/>
  <c r="E257" i="55"/>
  <c r="C144" i="55"/>
  <c r="E203" i="55" s="1"/>
  <c r="E24" i="53"/>
  <c r="E77" i="53" s="1"/>
  <c r="E48" i="53"/>
  <c r="E101" i="53" s="1"/>
  <c r="C31" i="55"/>
  <c r="C88" i="55" s="1"/>
  <c r="C27" i="55"/>
  <c r="C84" i="55" s="1"/>
  <c r="F222" i="53"/>
  <c r="F155" i="53"/>
  <c r="E165" i="53"/>
  <c r="E232" i="53"/>
  <c r="E209" i="53"/>
  <c r="E142" i="53"/>
  <c r="F225" i="53"/>
  <c r="F158" i="53"/>
  <c r="F157" i="53"/>
  <c r="F224" i="53"/>
  <c r="E52" i="53"/>
  <c r="E105" i="53" s="1"/>
  <c r="F173" i="53" s="1"/>
  <c r="L56" i="22"/>
  <c r="M53" i="22" s="1"/>
  <c r="C44" i="55"/>
  <c r="C101" i="55" s="1"/>
  <c r="C123" i="55"/>
  <c r="E181" i="55" s="1"/>
  <c r="E236" i="55"/>
  <c r="G40" i="53"/>
  <c r="G93" i="53" s="1"/>
  <c r="F263" i="55"/>
  <c r="D150" i="55"/>
  <c r="F209" i="55" s="1"/>
  <c r="E275" i="55"/>
  <c r="C165" i="55"/>
  <c r="E224" i="55" s="1"/>
  <c r="E261" i="55"/>
  <c r="C148" i="55"/>
  <c r="E207" i="55" s="1"/>
  <c r="E241" i="55"/>
  <c r="C128" i="55"/>
  <c r="E186" i="55" s="1"/>
  <c r="F200" i="53"/>
  <c r="F133" i="53"/>
  <c r="B132" i="55"/>
  <c r="D190" i="55" s="1"/>
  <c r="D245" i="55"/>
  <c r="E237" i="55"/>
  <c r="C124" i="55"/>
  <c r="E182" i="55" s="1"/>
  <c r="F13" i="53"/>
  <c r="F66" i="53" s="1"/>
  <c r="B134" i="55"/>
  <c r="D192" i="55" s="1"/>
  <c r="D247" i="55"/>
  <c r="B33" i="55"/>
  <c r="B138" i="55"/>
  <c r="D196" i="55" s="1"/>
  <c r="D251" i="55"/>
  <c r="B156" i="55"/>
  <c r="D215" i="55" s="1"/>
  <c r="D269" i="55"/>
  <c r="C24" i="55"/>
  <c r="C81" i="55" s="1"/>
  <c r="B154" i="55"/>
  <c r="D213" i="55" s="1"/>
  <c r="D267" i="55"/>
  <c r="E238" i="55"/>
  <c r="C125" i="55"/>
  <c r="E183" i="55" s="1"/>
  <c r="E278" i="55"/>
  <c r="C168" i="55"/>
  <c r="E227" i="55" s="1"/>
  <c r="F226" i="53"/>
  <c r="F159" i="53"/>
  <c r="F203" i="53"/>
  <c r="F136" i="53"/>
  <c r="B130" i="55"/>
  <c r="D188" i="55" s="1"/>
  <c r="D243" i="55"/>
  <c r="D11" i="55"/>
  <c r="E207" i="53"/>
  <c r="E140" i="53"/>
  <c r="D58" i="55"/>
  <c r="D115" i="55" s="1"/>
  <c r="E171" i="53"/>
  <c r="E238" i="53"/>
  <c r="D118" i="53"/>
  <c r="D114" i="53"/>
  <c r="E253" i="53" s="1"/>
  <c r="F11" i="53"/>
  <c r="F64" i="53" s="1"/>
  <c r="F55" i="53"/>
  <c r="F108" i="53" s="1"/>
  <c r="B157" i="55"/>
  <c r="D216" i="55" s="1"/>
  <c r="D270" i="55"/>
  <c r="D13" i="55"/>
  <c r="D70" i="55" s="1"/>
  <c r="E43" i="53"/>
  <c r="E96" i="53" s="1"/>
  <c r="E213" i="53"/>
  <c r="E146" i="53"/>
  <c r="E167" i="53"/>
  <c r="E234" i="53"/>
  <c r="B140" i="55"/>
  <c r="D198" i="55" s="1"/>
  <c r="D253" i="55"/>
  <c r="F242" i="53"/>
  <c r="F178" i="53"/>
  <c r="F175" i="53"/>
  <c r="F239" i="53"/>
  <c r="B136" i="55"/>
  <c r="D194" i="55" s="1"/>
  <c r="D249" i="55"/>
  <c r="E143" i="53"/>
  <c r="E210" i="53"/>
  <c r="F34" i="53"/>
  <c r="F87" i="53" s="1"/>
  <c r="E44" i="53"/>
  <c r="E97" i="53" s="1"/>
  <c r="E21" i="53"/>
  <c r="E74" i="53" s="1"/>
  <c r="F37" i="53"/>
  <c r="F90" i="53" s="1"/>
  <c r="F45" i="83"/>
  <c r="F36" i="53"/>
  <c r="F89" i="53" s="1"/>
  <c r="B153" i="55"/>
  <c r="D212" i="55" s="1"/>
  <c r="D266" i="55"/>
  <c r="D14" i="55"/>
  <c r="D71" i="55" s="1"/>
  <c r="C28" i="55"/>
  <c r="C85" i="55" s="1"/>
  <c r="E41" i="55"/>
  <c r="E98" i="55" s="1"/>
  <c r="D56" i="55"/>
  <c r="D113" i="55" s="1"/>
  <c r="D39" i="55"/>
  <c r="D96" i="55" s="1"/>
  <c r="D19" i="55"/>
  <c r="D76" i="55" s="1"/>
  <c r="F12" i="53"/>
  <c r="F65" i="53" s="1"/>
  <c r="H11" i="21"/>
  <c r="K35" i="61"/>
  <c r="K59" i="48"/>
  <c r="D15" i="55"/>
  <c r="D72" i="55" s="1"/>
  <c r="E53" i="53"/>
  <c r="E106" i="53" s="1"/>
  <c r="F174" i="53" s="1"/>
  <c r="C139" i="55"/>
  <c r="E197" i="55" s="1"/>
  <c r="E252" i="55"/>
  <c r="E216" i="53"/>
  <c r="E149" i="53"/>
  <c r="H35" i="29"/>
  <c r="E141" i="53"/>
  <c r="E208" i="53"/>
  <c r="B133" i="55"/>
  <c r="D191" i="55" s="1"/>
  <c r="D246" i="55"/>
  <c r="D16" i="55"/>
  <c r="D73" i="55" s="1"/>
  <c r="D59" i="55"/>
  <c r="D116" i="55" s="1"/>
  <c r="F38" i="53"/>
  <c r="F91" i="53" s="1"/>
  <c r="F15" i="53"/>
  <c r="F68" i="53" s="1"/>
  <c r="E258" i="55"/>
  <c r="C145" i="55"/>
  <c r="E204" i="55" s="1"/>
  <c r="E51" i="53"/>
  <c r="E104" i="53" s="1"/>
  <c r="F172" i="53" s="1"/>
  <c r="D92" i="55"/>
  <c r="C52" i="55"/>
  <c r="C109" i="55" s="1"/>
  <c r="E19" i="53"/>
  <c r="E72" i="53" s="1"/>
  <c r="E277" i="55"/>
  <c r="C167" i="55"/>
  <c r="E226" i="55" s="1"/>
  <c r="E50" i="53"/>
  <c r="E103" i="53" s="1"/>
  <c r="D115" i="53"/>
  <c r="C26" i="55"/>
  <c r="C83" i="55" s="1"/>
  <c r="F264" i="55"/>
  <c r="D151" i="55"/>
  <c r="F210" i="55" s="1"/>
  <c r="E150" i="53"/>
  <c r="E217" i="53"/>
  <c r="D183" i="53"/>
  <c r="D246" i="53"/>
  <c r="E148" i="53"/>
  <c r="E215" i="53"/>
  <c r="E25" i="53"/>
  <c r="E78" i="53" s="1"/>
  <c r="E46" i="53"/>
  <c r="E99" i="53" s="1"/>
  <c r="C50" i="55"/>
  <c r="C107" i="55" s="1"/>
  <c r="C20" i="55"/>
  <c r="C77" i="55" s="1"/>
  <c r="E237" i="53"/>
  <c r="E170" i="53"/>
  <c r="F57" i="53"/>
  <c r="F110" i="53" s="1"/>
  <c r="F54" i="53"/>
  <c r="F107" i="53" s="1"/>
  <c r="E22" i="53"/>
  <c r="E75" i="53" s="1"/>
  <c r="G229" i="53"/>
  <c r="G162" i="53"/>
  <c r="C51" i="55"/>
  <c r="C108" i="55" s="1"/>
  <c r="E276" i="55"/>
  <c r="C166" i="55"/>
  <c r="E225" i="55" s="1"/>
  <c r="G160" i="53"/>
  <c r="G227" i="53"/>
  <c r="C127" i="55"/>
  <c r="E185" i="55" s="1"/>
  <c r="E240" i="55"/>
  <c r="E211" i="53"/>
  <c r="E144" i="53"/>
  <c r="F198" i="53"/>
  <c r="F131" i="53"/>
  <c r="F204" i="53"/>
  <c r="F137" i="53"/>
  <c r="E235" i="53"/>
  <c r="E168" i="53"/>
  <c r="B137" i="55"/>
  <c r="D195" i="55" s="1"/>
  <c r="D250" i="55"/>
  <c r="E139" i="53"/>
  <c r="E206" i="53"/>
  <c r="D253" i="53"/>
  <c r="E163" i="53"/>
  <c r="E230" i="53"/>
  <c r="E260" i="55"/>
  <c r="C147" i="55"/>
  <c r="E206" i="55" s="1"/>
  <c r="C46" i="55"/>
  <c r="C103" i="55" s="1"/>
  <c r="M44" i="22"/>
  <c r="E233" i="53"/>
  <c r="E166" i="53"/>
  <c r="G41" i="22"/>
  <c r="D30" i="55"/>
  <c r="D87" i="55" s="1"/>
  <c r="E28" i="53"/>
  <c r="E81" i="53" s="1"/>
  <c r="F10" i="23"/>
  <c r="E10" i="23" s="1"/>
  <c r="E20" i="53"/>
  <c r="E73" i="53" s="1"/>
  <c r="G221" i="53"/>
  <c r="G154" i="53"/>
  <c r="F130" i="53"/>
  <c r="F197" i="53"/>
  <c r="D182" i="53"/>
  <c r="D245" i="53"/>
  <c r="F177" i="53"/>
  <c r="F241" i="53"/>
  <c r="F265" i="55"/>
  <c r="D152" i="55"/>
  <c r="F211" i="55" s="1"/>
  <c r="C22" i="55"/>
  <c r="C79" i="55" s="1"/>
  <c r="C49" i="55"/>
  <c r="C106" i="55" s="1"/>
  <c r="O49" i="22" l="1"/>
  <c r="F19" i="23"/>
  <c r="F31" i="23"/>
  <c r="F22" i="23"/>
  <c r="F36" i="23"/>
  <c r="F43" i="23"/>
  <c r="F49" i="23"/>
  <c r="F55" i="23"/>
  <c r="F66" i="23"/>
  <c r="F64" i="23"/>
  <c r="F62" i="23"/>
  <c r="F16" i="23"/>
  <c r="F24" i="23"/>
  <c r="F17" i="23"/>
  <c r="F29" i="23"/>
  <c r="F34" i="23"/>
  <c r="F39" i="23"/>
  <c r="F56" i="23"/>
  <c r="F47" i="23"/>
  <c r="F59" i="23"/>
  <c r="F68" i="23"/>
  <c r="F33" i="23"/>
  <c r="F21" i="23"/>
  <c r="F30" i="23"/>
  <c r="F44" i="23"/>
  <c r="F45" i="23"/>
  <c r="F35" i="23"/>
  <c r="F48" i="23"/>
  <c r="F54" i="23"/>
  <c r="F63" i="23"/>
  <c r="F65" i="23"/>
  <c r="F28" i="23"/>
  <c r="F23" i="23"/>
  <c r="F25" i="23"/>
  <c r="F40" i="23"/>
  <c r="F41" i="23"/>
  <c r="F53" i="23"/>
  <c r="F57" i="23"/>
  <c r="F50" i="23"/>
  <c r="F60" i="23"/>
  <c r="F69" i="23"/>
  <c r="F26" i="23"/>
  <c r="F18" i="23"/>
  <c r="F32" i="23"/>
  <c r="F20" i="23"/>
  <c r="F42" i="23"/>
  <c r="F38" i="23"/>
  <c r="F37" i="23"/>
  <c r="F27" i="23"/>
  <c r="F52" i="23"/>
  <c r="F51" i="23"/>
  <c r="F46" i="23"/>
  <c r="F67" i="23"/>
  <c r="F61" i="23"/>
  <c r="I140" i="29"/>
  <c r="I155" i="29"/>
  <c r="I170" i="29"/>
  <c r="I125" i="29"/>
  <c r="D35" i="22"/>
  <c r="D57" i="22" s="1"/>
  <c r="C14" i="69" s="1"/>
  <c r="C16" i="69" s="1"/>
  <c r="G88" i="22"/>
  <c r="I11" i="29"/>
  <c r="I93" i="29"/>
  <c r="H107" i="29"/>
  <c r="C59" i="22"/>
  <c r="L37" i="22"/>
  <c r="F107" i="29"/>
  <c r="G11" i="29"/>
  <c r="F57" i="29"/>
  <c r="E88" i="22"/>
  <c r="J172" i="84"/>
  <c r="O50" i="22"/>
  <c r="P47" i="22" s="1"/>
  <c r="P48" i="22" s="1"/>
  <c r="P50" i="22" s="1"/>
  <c r="Q47" i="22" s="1"/>
  <c r="Q48" i="22" s="1"/>
  <c r="Q50" i="22" s="1"/>
  <c r="E37" i="22"/>
  <c r="D59" i="22"/>
  <c r="G37" i="21"/>
  <c r="G40" i="21" s="1"/>
  <c r="D191" i="53"/>
  <c r="G35" i="53"/>
  <c r="G88" i="53" s="1"/>
  <c r="E37" i="55"/>
  <c r="E94" i="55" s="1"/>
  <c r="G223" i="53"/>
  <c r="G156" i="53"/>
  <c r="F259" i="55"/>
  <c r="D146" i="55"/>
  <c r="F205" i="55" s="1"/>
  <c r="D260" i="53"/>
  <c r="D262" i="53" s="1"/>
  <c r="D22" i="55"/>
  <c r="D79" i="55" s="1"/>
  <c r="F208" i="53"/>
  <c r="F141" i="53"/>
  <c r="D139" i="55"/>
  <c r="F197" i="55" s="1"/>
  <c r="F252" i="55"/>
  <c r="N41" i="22"/>
  <c r="D51" i="55"/>
  <c r="D108" i="55" s="1"/>
  <c r="F143" i="53"/>
  <c r="F210" i="53"/>
  <c r="G175" i="53"/>
  <c r="G239" i="53"/>
  <c r="D20" i="55"/>
  <c r="D77" i="55" s="1"/>
  <c r="F46" i="53"/>
  <c r="F99" i="53" s="1"/>
  <c r="F257" i="55"/>
  <c r="D144" i="55"/>
  <c r="F203" i="55" s="1"/>
  <c r="G159" i="53"/>
  <c r="G226" i="53"/>
  <c r="E15" i="55"/>
  <c r="E72" i="55" s="1"/>
  <c r="G200" i="53"/>
  <c r="G133" i="53"/>
  <c r="F241" i="55"/>
  <c r="D128" i="55"/>
  <c r="F186" i="55" s="1"/>
  <c r="F275" i="55"/>
  <c r="D165" i="55"/>
  <c r="F224" i="55" s="1"/>
  <c r="E250" i="55"/>
  <c r="C137" i="55"/>
  <c r="E195" i="55" s="1"/>
  <c r="G225" i="53"/>
  <c r="G158" i="53"/>
  <c r="F165" i="53"/>
  <c r="F232" i="53"/>
  <c r="F235" i="55"/>
  <c r="D122" i="55"/>
  <c r="F180" i="55" s="1"/>
  <c r="G199" i="53"/>
  <c r="G132" i="53"/>
  <c r="F277" i="55"/>
  <c r="D167" i="55"/>
  <c r="F226" i="55" s="1"/>
  <c r="E11" i="55"/>
  <c r="G201" i="53"/>
  <c r="G134" i="53"/>
  <c r="E249" i="55"/>
  <c r="C136" i="55"/>
  <c r="E194" i="55" s="1"/>
  <c r="D31" i="55"/>
  <c r="D88" i="55" s="1"/>
  <c r="F24" i="53"/>
  <c r="F77" i="53" s="1"/>
  <c r="D48" i="55"/>
  <c r="D105" i="55" s="1"/>
  <c r="F262" i="55"/>
  <c r="D149" i="55"/>
  <c r="F208" i="55" s="1"/>
  <c r="F234" i="55"/>
  <c r="D121" i="55"/>
  <c r="F179" i="55" s="1"/>
  <c r="C33" i="55"/>
  <c r="F258" i="55"/>
  <c r="D145" i="55"/>
  <c r="F204" i="55" s="1"/>
  <c r="G265" i="55"/>
  <c r="E152" i="55"/>
  <c r="G211" i="55" s="1"/>
  <c r="D45" i="55"/>
  <c r="D102" i="55" s="1"/>
  <c r="H33" i="53"/>
  <c r="H86" i="53" s="1"/>
  <c r="I33" i="53"/>
  <c r="I86" i="53" s="1"/>
  <c r="D29" i="55"/>
  <c r="D86" i="55" s="1"/>
  <c r="D178" i="55"/>
  <c r="D284" i="55"/>
  <c r="D285" i="55"/>
  <c r="F45" i="53"/>
  <c r="F98" i="53" s="1"/>
  <c r="F139" i="53"/>
  <c r="F206" i="53"/>
  <c r="F235" i="53"/>
  <c r="F168" i="53"/>
  <c r="G198" i="53"/>
  <c r="G131" i="53"/>
  <c r="F211" i="53"/>
  <c r="F144" i="53"/>
  <c r="H227" i="53"/>
  <c r="H160" i="53"/>
  <c r="F217" i="53"/>
  <c r="F150" i="53"/>
  <c r="E271" i="55"/>
  <c r="C158" i="55"/>
  <c r="E217" i="55" s="1"/>
  <c r="E119" i="53"/>
  <c r="E118" i="53"/>
  <c r="F20" i="53"/>
  <c r="F73" i="53" s="1"/>
  <c r="G10" i="23"/>
  <c r="C11" i="23" s="1"/>
  <c r="E30" i="55"/>
  <c r="E87" i="55" s="1"/>
  <c r="G44" i="22"/>
  <c r="E268" i="55"/>
  <c r="C155" i="55"/>
  <c r="E214" i="55" s="1"/>
  <c r="F22" i="53"/>
  <c r="F75" i="53" s="1"/>
  <c r="G54" i="53"/>
  <c r="G107" i="53" s="1"/>
  <c r="E272" i="55"/>
  <c r="C159" i="55"/>
  <c r="E218" i="55" s="1"/>
  <c r="F213" i="53"/>
  <c r="F146" i="53"/>
  <c r="C135" i="55"/>
  <c r="E193" i="55" s="1"/>
  <c r="E248" i="55"/>
  <c r="E183" i="53"/>
  <c r="E246" i="53"/>
  <c r="E274" i="55"/>
  <c r="C161" i="55"/>
  <c r="E220" i="55" s="1"/>
  <c r="G38" i="53"/>
  <c r="G91" i="53" s="1"/>
  <c r="G12" i="53"/>
  <c r="G65" i="53" s="1"/>
  <c r="E19" i="55"/>
  <c r="E76" i="55" s="1"/>
  <c r="E56" i="55"/>
  <c r="E113" i="55" s="1"/>
  <c r="D28" i="55"/>
  <c r="D85" i="55" s="1"/>
  <c r="G37" i="53"/>
  <c r="G90" i="53" s="1"/>
  <c r="F44" i="53"/>
  <c r="F97" i="53" s="1"/>
  <c r="M36" i="22"/>
  <c r="M38" i="22" s="1"/>
  <c r="E13" i="55"/>
  <c r="E70" i="55" s="1"/>
  <c r="G11" i="53"/>
  <c r="G64" i="53" s="1"/>
  <c r="E58" i="55"/>
  <c r="E115" i="55" s="1"/>
  <c r="D68" i="55"/>
  <c r="B65" i="55"/>
  <c r="D200" i="55" s="1"/>
  <c r="B10" i="55"/>
  <c r="G13" i="53"/>
  <c r="G66" i="53" s="1"/>
  <c r="I40" i="53"/>
  <c r="I93" i="53" s="1"/>
  <c r="H40" i="53"/>
  <c r="H93" i="53" s="1"/>
  <c r="E266" i="55"/>
  <c r="C153" i="55"/>
  <c r="E212" i="55" s="1"/>
  <c r="F52" i="53"/>
  <c r="F105" i="53" s="1"/>
  <c r="G173" i="53" s="1"/>
  <c r="D27" i="55"/>
  <c r="D84" i="55" s="1"/>
  <c r="F169" i="53"/>
  <c r="F236" i="53"/>
  <c r="G202" i="53"/>
  <c r="G135" i="53"/>
  <c r="E40" i="55"/>
  <c r="E97" i="55" s="1"/>
  <c r="E12" i="55"/>
  <c r="E69" i="55" s="1"/>
  <c r="E233" i="55"/>
  <c r="C120" i="55"/>
  <c r="E36" i="55"/>
  <c r="E93" i="55" s="1"/>
  <c r="F43" i="55"/>
  <c r="F100" i="55" s="1"/>
  <c r="G197" i="53"/>
  <c r="G130" i="53"/>
  <c r="E269" i="55"/>
  <c r="C156" i="55"/>
  <c r="E215" i="55" s="1"/>
  <c r="C134" i="55"/>
  <c r="E192" i="55" s="1"/>
  <c r="E247" i="55"/>
  <c r="E245" i="55"/>
  <c r="C132" i="55"/>
  <c r="E190" i="55" s="1"/>
  <c r="F260" i="55"/>
  <c r="D147" i="55"/>
  <c r="F206" i="55" s="1"/>
  <c r="F230" i="53"/>
  <c r="F163" i="53"/>
  <c r="F18" i="53"/>
  <c r="F71" i="53" s="1"/>
  <c r="F47" i="53"/>
  <c r="F100" i="53" s="1"/>
  <c r="G10" i="53"/>
  <c r="G63" i="53" s="1"/>
  <c r="F23" i="53"/>
  <c r="F76" i="53" s="1"/>
  <c r="H39" i="53"/>
  <c r="H92" i="53" s="1"/>
  <c r="I39" i="53"/>
  <c r="I92" i="53" s="1"/>
  <c r="L30" i="22"/>
  <c r="L32" i="22" s="1"/>
  <c r="L57" i="22"/>
  <c r="C61" i="55"/>
  <c r="F148" i="53"/>
  <c r="F215" i="53"/>
  <c r="F29" i="53"/>
  <c r="F82" i="53" s="1"/>
  <c r="E188" i="53"/>
  <c r="E251" i="53"/>
  <c r="F35" i="55"/>
  <c r="D49" i="55"/>
  <c r="D106" i="55" s="1"/>
  <c r="E116" i="53"/>
  <c r="E115" i="53"/>
  <c r="F216" i="53"/>
  <c r="F149" i="53"/>
  <c r="D46" i="55"/>
  <c r="D103" i="55" s="1"/>
  <c r="G242" i="53"/>
  <c r="G178" i="53"/>
  <c r="D50" i="55"/>
  <c r="D107" i="55" s="1"/>
  <c r="F25" i="53"/>
  <c r="F78" i="53" s="1"/>
  <c r="D26" i="55"/>
  <c r="D83" i="55" s="1"/>
  <c r="F238" i="53"/>
  <c r="F171" i="53"/>
  <c r="F207" i="53"/>
  <c r="F140" i="53"/>
  <c r="D52" i="55"/>
  <c r="D109" i="55" s="1"/>
  <c r="G203" i="53"/>
  <c r="G136" i="53"/>
  <c r="F278" i="55"/>
  <c r="D168" i="55"/>
  <c r="F227" i="55" s="1"/>
  <c r="F238" i="55"/>
  <c r="D125" i="55"/>
  <c r="F183" i="55" s="1"/>
  <c r="F53" i="53"/>
  <c r="F106" i="53" s="1"/>
  <c r="G174" i="53" s="1"/>
  <c r="F261" i="55"/>
  <c r="D148" i="55"/>
  <c r="F207" i="55" s="1"/>
  <c r="G263" i="55"/>
  <c r="E150" i="55"/>
  <c r="G209" i="55" s="1"/>
  <c r="F236" i="55"/>
  <c r="D123" i="55"/>
  <c r="F181" i="55" s="1"/>
  <c r="G224" i="53"/>
  <c r="G157" i="53"/>
  <c r="F209" i="53"/>
  <c r="F142" i="53"/>
  <c r="G155" i="53"/>
  <c r="G222" i="53"/>
  <c r="F231" i="53"/>
  <c r="F164" i="53"/>
  <c r="G240" i="53"/>
  <c r="G176" i="53"/>
  <c r="E182" i="53"/>
  <c r="E245" i="53"/>
  <c r="E246" i="55"/>
  <c r="C133" i="55"/>
  <c r="E191" i="55" s="1"/>
  <c r="H228" i="53"/>
  <c r="H161" i="53"/>
  <c r="D44" i="55"/>
  <c r="F48" i="53"/>
  <c r="F101" i="53" s="1"/>
  <c r="G14" i="53"/>
  <c r="G67" i="53" s="1"/>
  <c r="E17" i="55"/>
  <c r="E74" i="55" s="1"/>
  <c r="C130" i="55"/>
  <c r="E188" i="55" s="1"/>
  <c r="E243" i="55"/>
  <c r="G241" i="53"/>
  <c r="G177" i="53"/>
  <c r="G9" i="53"/>
  <c r="G62" i="53" s="1"/>
  <c r="D47" i="55"/>
  <c r="D104" i="55" s="1"/>
  <c r="D25" i="55"/>
  <c r="D82" i="55" s="1"/>
  <c r="D23" i="55"/>
  <c r="D80" i="55" s="1"/>
  <c r="E38" i="55"/>
  <c r="E95" i="55" s="1"/>
  <c r="F42" i="53"/>
  <c r="F95" i="53" s="1"/>
  <c r="G137" i="53"/>
  <c r="G204" i="53"/>
  <c r="F240" i="55"/>
  <c r="D127" i="55"/>
  <c r="F185" i="55" s="1"/>
  <c r="F276" i="55"/>
  <c r="D166" i="55"/>
  <c r="F225" i="55" s="1"/>
  <c r="H229" i="53"/>
  <c r="H162" i="53"/>
  <c r="F237" i="53"/>
  <c r="F170" i="53"/>
  <c r="F27" i="53"/>
  <c r="F80" i="53" s="1"/>
  <c r="G264" i="55"/>
  <c r="E151" i="55"/>
  <c r="G210" i="55" s="1"/>
  <c r="E92" i="55"/>
  <c r="C131" i="55"/>
  <c r="E189" i="55" s="1"/>
  <c r="E244" i="55"/>
  <c r="E114" i="53"/>
  <c r="F28" i="53"/>
  <c r="F81" i="53" s="1"/>
  <c r="E273" i="55"/>
  <c r="C160" i="55"/>
  <c r="E219" i="55" s="1"/>
  <c r="G57" i="53"/>
  <c r="G110" i="53" s="1"/>
  <c r="E242" i="55"/>
  <c r="C129" i="55"/>
  <c r="E187" i="55" s="1"/>
  <c r="F234" i="53"/>
  <c r="F167" i="53"/>
  <c r="F50" i="53"/>
  <c r="F103" i="53" s="1"/>
  <c r="F19" i="53"/>
  <c r="F72" i="53" s="1"/>
  <c r="F51" i="53"/>
  <c r="F104" i="53" s="1"/>
  <c r="G172" i="53" s="1"/>
  <c r="G15" i="53"/>
  <c r="G68" i="53" s="1"/>
  <c r="E59" i="55"/>
  <c r="E116" i="55" s="1"/>
  <c r="E16" i="55"/>
  <c r="E73" i="55" s="1"/>
  <c r="F237" i="55"/>
  <c r="D124" i="55"/>
  <c r="F182" i="55" s="1"/>
  <c r="I35" i="29"/>
  <c r="E39" i="55"/>
  <c r="E96" i="55" s="1"/>
  <c r="F41" i="55"/>
  <c r="F98" i="55" s="1"/>
  <c r="E14" i="55"/>
  <c r="E71" i="55" s="1"/>
  <c r="G45" i="83"/>
  <c r="G36" i="53"/>
  <c r="G89" i="53" s="1"/>
  <c r="F21" i="53"/>
  <c r="F74" i="53" s="1"/>
  <c r="G34" i="53"/>
  <c r="G87" i="53" s="1"/>
  <c r="F43" i="53"/>
  <c r="F96" i="53" s="1"/>
  <c r="G55" i="53"/>
  <c r="G108" i="53" s="1"/>
  <c r="E250" i="53"/>
  <c r="E187" i="53"/>
  <c r="D24" i="55"/>
  <c r="D81" i="55" s="1"/>
  <c r="M54" i="22"/>
  <c r="M55" i="22" s="1"/>
  <c r="E253" i="55"/>
  <c r="C140" i="55"/>
  <c r="E198" i="55" s="1"/>
  <c r="F212" i="53"/>
  <c r="F145" i="53"/>
  <c r="E270" i="55"/>
  <c r="C157" i="55"/>
  <c r="E216" i="55" s="1"/>
  <c r="F239" i="55"/>
  <c r="D126" i="55"/>
  <c r="F184" i="55" s="1"/>
  <c r="D21" i="55"/>
  <c r="D78" i="55" s="1"/>
  <c r="G56" i="53"/>
  <c r="G109" i="53" s="1"/>
  <c r="E267" i="55"/>
  <c r="C154" i="55"/>
  <c r="E213" i="55" s="1"/>
  <c r="H221" i="53"/>
  <c r="H154" i="53"/>
  <c r="C138" i="55"/>
  <c r="E196" i="55" s="1"/>
  <c r="E251" i="55"/>
  <c r="F233" i="53"/>
  <c r="F166" i="53"/>
  <c r="G16" i="53"/>
  <c r="G69" i="53" s="1"/>
  <c r="E18" i="55"/>
  <c r="E75" i="55" s="1"/>
  <c r="E57" i="55"/>
  <c r="E114" i="55" s="1"/>
  <c r="I41" i="53"/>
  <c r="I94" i="53" s="1"/>
  <c r="H41" i="53"/>
  <c r="H94" i="53" s="1"/>
  <c r="F49" i="53"/>
  <c r="F102" i="53" s="1"/>
  <c r="F42" i="55"/>
  <c r="F99" i="55" s="1"/>
  <c r="E254" i="53"/>
  <c r="D38" i="22" l="1"/>
  <c r="D60" i="22" s="1"/>
  <c r="H176" i="29"/>
  <c r="H131" i="29"/>
  <c r="H146" i="29"/>
  <c r="H161" i="29"/>
  <c r="P49" i="22"/>
  <c r="Q49" i="22" s="1"/>
  <c r="F37" i="22"/>
  <c r="E59" i="22"/>
  <c r="E35" i="22"/>
  <c r="M56" i="22"/>
  <c r="N53" i="22" s="1"/>
  <c r="N54" i="22" s="1"/>
  <c r="N55" i="22" s="1"/>
  <c r="H37" i="21"/>
  <c r="H40" i="21" s="1"/>
  <c r="H25" i="68"/>
  <c r="F254" i="53"/>
  <c r="G259" i="55"/>
  <c r="E146" i="55"/>
  <c r="G205" i="55" s="1"/>
  <c r="F37" i="55"/>
  <c r="F94" i="55" s="1"/>
  <c r="E260" i="53"/>
  <c r="I35" i="53"/>
  <c r="I88" i="53" s="1"/>
  <c r="H35" i="53"/>
  <c r="H88" i="53" s="1"/>
  <c r="E191" i="53"/>
  <c r="H223" i="53"/>
  <c r="H156" i="53"/>
  <c r="M29" i="22"/>
  <c r="L60" i="22"/>
  <c r="N35" i="22"/>
  <c r="F18" i="55"/>
  <c r="F75" i="55" s="1"/>
  <c r="E21" i="55"/>
  <c r="E78" i="55" s="1"/>
  <c r="I229" i="53"/>
  <c r="I162" i="53"/>
  <c r="G240" i="55"/>
  <c r="E127" i="55"/>
  <c r="G185" i="55" s="1"/>
  <c r="H204" i="53"/>
  <c r="H137" i="53"/>
  <c r="I56" i="53"/>
  <c r="I109" i="53" s="1"/>
  <c r="H56" i="53"/>
  <c r="H109" i="53" s="1"/>
  <c r="D130" i="55"/>
  <c r="F188" i="55" s="1"/>
  <c r="F243" i="55"/>
  <c r="F246" i="55"/>
  <c r="D133" i="55"/>
  <c r="F191" i="55" s="1"/>
  <c r="G164" i="53"/>
  <c r="G231" i="53"/>
  <c r="G142" i="53"/>
  <c r="G209" i="53"/>
  <c r="G236" i="55"/>
  <c r="E123" i="55"/>
  <c r="G181" i="55" s="1"/>
  <c r="G261" i="55"/>
  <c r="E148" i="55"/>
  <c r="G207" i="55" s="1"/>
  <c r="F59" i="55"/>
  <c r="F116" i="55" s="1"/>
  <c r="G51" i="53"/>
  <c r="G104" i="53" s="1"/>
  <c r="H172" i="53" s="1"/>
  <c r="G50" i="53"/>
  <c r="G103" i="53" s="1"/>
  <c r="F245" i="53"/>
  <c r="F182" i="53"/>
  <c r="G27" i="53"/>
  <c r="G80" i="53" s="1"/>
  <c r="G42" i="53"/>
  <c r="G95" i="53" s="1"/>
  <c r="E23" i="55"/>
  <c r="E80" i="55" s="1"/>
  <c r="E25" i="55"/>
  <c r="E82" i="55" s="1"/>
  <c r="E47" i="55"/>
  <c r="E104" i="55" s="1"/>
  <c r="I14" i="53"/>
  <c r="I67" i="53" s="1"/>
  <c r="H14" i="53"/>
  <c r="H67" i="53" s="1"/>
  <c r="G48" i="53"/>
  <c r="G101" i="53" s="1"/>
  <c r="E52" i="55"/>
  <c r="E109" i="55" s="1"/>
  <c r="E26" i="55"/>
  <c r="E83" i="55" s="1"/>
  <c r="E50" i="55"/>
  <c r="E107" i="55" s="1"/>
  <c r="F271" i="55"/>
  <c r="D158" i="55"/>
  <c r="F217" i="55" s="1"/>
  <c r="G23" i="53"/>
  <c r="G76" i="53" s="1"/>
  <c r="G47" i="53"/>
  <c r="G100" i="53" s="1"/>
  <c r="F114" i="53"/>
  <c r="H265" i="55"/>
  <c r="F152" i="55"/>
  <c r="H211" i="55" s="1"/>
  <c r="E284" i="55"/>
  <c r="E178" i="55"/>
  <c r="E285" i="55"/>
  <c r="G262" i="55"/>
  <c r="E149" i="55"/>
  <c r="G208" i="55" s="1"/>
  <c r="F249" i="55"/>
  <c r="D136" i="55"/>
  <c r="F194" i="55" s="1"/>
  <c r="I228" i="53"/>
  <c r="I161" i="53"/>
  <c r="D282" i="55"/>
  <c r="D283" i="55"/>
  <c r="F58" i="55"/>
  <c r="F115" i="55" s="1"/>
  <c r="H225" i="53"/>
  <c r="H158" i="53"/>
  <c r="F56" i="55"/>
  <c r="F113" i="55" s="1"/>
  <c r="H200" i="53"/>
  <c r="H133" i="53"/>
  <c r="H226" i="53"/>
  <c r="H159" i="53"/>
  <c r="H239" i="53"/>
  <c r="H175" i="53"/>
  <c r="F253" i="53"/>
  <c r="H41" i="22"/>
  <c r="F187" i="53"/>
  <c r="F250" i="53"/>
  <c r="J221" i="53"/>
  <c r="J154" i="53"/>
  <c r="C10" i="55"/>
  <c r="C65" i="55"/>
  <c r="E200" i="55" s="1"/>
  <c r="G24" i="53"/>
  <c r="G77" i="53" s="1"/>
  <c r="F11" i="55"/>
  <c r="F15" i="55"/>
  <c r="F72" i="55" s="1"/>
  <c r="G167" i="53"/>
  <c r="G234" i="53"/>
  <c r="E51" i="55"/>
  <c r="E108" i="55" s="1"/>
  <c r="D131" i="55"/>
  <c r="F189" i="55" s="1"/>
  <c r="F244" i="55"/>
  <c r="E259" i="53"/>
  <c r="J229" i="53"/>
  <c r="J162" i="53"/>
  <c r="I16" i="53"/>
  <c r="I69" i="53" s="1"/>
  <c r="H16" i="53"/>
  <c r="H69" i="53" s="1"/>
  <c r="E24" i="55"/>
  <c r="E81" i="55" s="1"/>
  <c r="G43" i="53"/>
  <c r="G96" i="53" s="1"/>
  <c r="G21" i="53"/>
  <c r="G74" i="53" s="1"/>
  <c r="F14" i="55"/>
  <c r="F71" i="55" s="1"/>
  <c r="F39" i="55"/>
  <c r="F96" i="55" s="1"/>
  <c r="F16" i="55"/>
  <c r="F73" i="55" s="1"/>
  <c r="H203" i="53"/>
  <c r="H136" i="53"/>
  <c r="G207" i="53"/>
  <c r="G140" i="53"/>
  <c r="G216" i="53"/>
  <c r="G149" i="53"/>
  <c r="G260" i="55"/>
  <c r="E147" i="55"/>
  <c r="G206" i="55" s="1"/>
  <c r="I9" i="53"/>
  <c r="I62" i="53" s="1"/>
  <c r="H9" i="53"/>
  <c r="H62" i="53" s="1"/>
  <c r="G239" i="55"/>
  <c r="E126" i="55"/>
  <c r="G184" i="55" s="1"/>
  <c r="D101" i="55"/>
  <c r="D61" i="55"/>
  <c r="G146" i="53"/>
  <c r="G213" i="53"/>
  <c r="E49" i="55"/>
  <c r="E106" i="55" s="1"/>
  <c r="J227" i="53"/>
  <c r="J160" i="53"/>
  <c r="H198" i="53"/>
  <c r="H131" i="53"/>
  <c r="G206" i="53"/>
  <c r="G139" i="53"/>
  <c r="F118" i="53"/>
  <c r="G43" i="55"/>
  <c r="G100" i="55" s="1"/>
  <c r="H43" i="55"/>
  <c r="H100" i="55" s="1"/>
  <c r="F40" i="55"/>
  <c r="F97" i="55" s="1"/>
  <c r="E27" i="55"/>
  <c r="E84" i="55" s="1"/>
  <c r="G52" i="53"/>
  <c r="G105" i="53" s="1"/>
  <c r="H173" i="53" s="1"/>
  <c r="J228" i="53"/>
  <c r="J161" i="53"/>
  <c r="D33" i="55"/>
  <c r="H199" i="53"/>
  <c r="H132" i="53"/>
  <c r="G235" i="55"/>
  <c r="E122" i="55"/>
  <c r="G180" i="55" s="1"/>
  <c r="M37" i="22"/>
  <c r="I37" i="53"/>
  <c r="I90" i="53" s="1"/>
  <c r="H37" i="53"/>
  <c r="H90" i="53" s="1"/>
  <c r="G275" i="55"/>
  <c r="E165" i="55"/>
  <c r="G224" i="55" s="1"/>
  <c r="I12" i="53"/>
  <c r="I65" i="53" s="1"/>
  <c r="H12" i="53"/>
  <c r="H65" i="53" s="1"/>
  <c r="H54" i="53"/>
  <c r="H107" i="53" s="1"/>
  <c r="I54" i="53"/>
  <c r="I107" i="53" s="1"/>
  <c r="G252" i="55"/>
  <c r="E139" i="55"/>
  <c r="G197" i="55" s="1"/>
  <c r="F251" i="53"/>
  <c r="F188" i="53"/>
  <c r="G233" i="53"/>
  <c r="G166" i="53"/>
  <c r="D229" i="55"/>
  <c r="I221" i="53"/>
  <c r="I154" i="53"/>
  <c r="F270" i="55"/>
  <c r="D157" i="55"/>
  <c r="F216" i="55" s="1"/>
  <c r="F253" i="55"/>
  <c r="D140" i="55"/>
  <c r="F198" i="55" s="1"/>
  <c r="G46" i="53"/>
  <c r="G99" i="53" s="1"/>
  <c r="N42" i="22"/>
  <c r="E22" i="55"/>
  <c r="E79" i="55" s="1"/>
  <c r="D274" i="53"/>
  <c r="D276" i="53" s="1"/>
  <c r="H264" i="55"/>
  <c r="F151" i="55"/>
  <c r="H210" i="55" s="1"/>
  <c r="G237" i="53"/>
  <c r="G170" i="53"/>
  <c r="G276" i="55"/>
  <c r="E166" i="55"/>
  <c r="G225" i="55" s="1"/>
  <c r="I55" i="53"/>
  <c r="I108" i="53" s="1"/>
  <c r="H55" i="53"/>
  <c r="H108" i="53" s="1"/>
  <c r="I34" i="53"/>
  <c r="I87" i="53" s="1"/>
  <c r="H34" i="53"/>
  <c r="H87" i="53" s="1"/>
  <c r="H224" i="53"/>
  <c r="H157" i="53"/>
  <c r="H263" i="55"/>
  <c r="F150" i="55"/>
  <c r="H209" i="55" s="1"/>
  <c r="E125" i="55"/>
  <c r="G183" i="55" s="1"/>
  <c r="G238" i="55"/>
  <c r="I15" i="53"/>
  <c r="I68" i="53" s="1"/>
  <c r="H15" i="53"/>
  <c r="H68" i="53" s="1"/>
  <c r="G19" i="53"/>
  <c r="G72" i="53" s="1"/>
  <c r="H242" i="53"/>
  <c r="H178" i="53"/>
  <c r="G28" i="53"/>
  <c r="G81" i="53" s="1"/>
  <c r="G257" i="55"/>
  <c r="E144" i="55"/>
  <c r="G203" i="55" s="1"/>
  <c r="F38" i="55"/>
  <c r="F95" i="55" s="1"/>
  <c r="H197" i="53"/>
  <c r="H130" i="53"/>
  <c r="F17" i="55"/>
  <c r="F74" i="55" s="1"/>
  <c r="E44" i="55"/>
  <c r="G25" i="53"/>
  <c r="G78" i="53" s="1"/>
  <c r="F268" i="55"/>
  <c r="D155" i="55"/>
  <c r="F214" i="55" s="1"/>
  <c r="F246" i="53"/>
  <c r="F183" i="53"/>
  <c r="F92" i="55"/>
  <c r="G150" i="53"/>
  <c r="G217" i="53"/>
  <c r="I227" i="53"/>
  <c r="I160" i="53"/>
  <c r="I10" i="53"/>
  <c r="I63" i="53" s="1"/>
  <c r="H10" i="53"/>
  <c r="H63" i="53" s="1"/>
  <c r="G18" i="53"/>
  <c r="G71" i="53" s="1"/>
  <c r="F119" i="53"/>
  <c r="F115" i="53"/>
  <c r="G258" i="55"/>
  <c r="E145" i="55"/>
  <c r="G204" i="55" s="1"/>
  <c r="E121" i="55"/>
  <c r="G179" i="55" s="1"/>
  <c r="G234" i="55"/>
  <c r="H201" i="53"/>
  <c r="H134" i="53"/>
  <c r="D120" i="55"/>
  <c r="F233" i="55"/>
  <c r="I11" i="53"/>
  <c r="I64" i="53" s="1"/>
  <c r="H11" i="53"/>
  <c r="H64" i="53" s="1"/>
  <c r="F13" i="55"/>
  <c r="F70" i="55" s="1"/>
  <c r="G232" i="53"/>
  <c r="G165" i="53"/>
  <c r="F250" i="55"/>
  <c r="D137" i="55"/>
  <c r="F195" i="55" s="1"/>
  <c r="E128" i="55"/>
  <c r="G186" i="55" s="1"/>
  <c r="G241" i="55"/>
  <c r="G210" i="53"/>
  <c r="G143" i="53"/>
  <c r="F30" i="55"/>
  <c r="F87" i="55" s="1"/>
  <c r="G141" i="53"/>
  <c r="G208" i="53"/>
  <c r="G45" i="53"/>
  <c r="G98" i="53" s="1"/>
  <c r="D138" i="55"/>
  <c r="F196" i="55" s="1"/>
  <c r="F251" i="55"/>
  <c r="F267" i="55"/>
  <c r="D154" i="55"/>
  <c r="F213" i="55" s="1"/>
  <c r="E48" i="55"/>
  <c r="E105" i="55" s="1"/>
  <c r="E31" i="55"/>
  <c r="E88" i="55" s="1"/>
  <c r="F242" i="55"/>
  <c r="D129" i="55"/>
  <c r="F187" i="55" s="1"/>
  <c r="C36" i="29"/>
  <c r="H42" i="55"/>
  <c r="H99" i="55" s="1"/>
  <c r="G42" i="55"/>
  <c r="G99" i="55" s="1"/>
  <c r="G49" i="53"/>
  <c r="G102" i="53" s="1"/>
  <c r="F57" i="55"/>
  <c r="F114" i="55" s="1"/>
  <c r="H241" i="53"/>
  <c r="H177" i="53"/>
  <c r="H240" i="53"/>
  <c r="H176" i="53"/>
  <c r="H222" i="53"/>
  <c r="H155" i="53"/>
  <c r="H45" i="83"/>
  <c r="I36" i="53" s="1"/>
  <c r="I89" i="53" s="1"/>
  <c r="H36" i="53"/>
  <c r="H89" i="53" s="1"/>
  <c r="H41" i="55"/>
  <c r="H98" i="55" s="1"/>
  <c r="G41" i="55"/>
  <c r="G98" i="55" s="1"/>
  <c r="G278" i="55"/>
  <c r="E168" i="55"/>
  <c r="G227" i="55" s="1"/>
  <c r="G171" i="53"/>
  <c r="G238" i="53"/>
  <c r="I57" i="53"/>
  <c r="I110" i="53" s="1"/>
  <c r="H57" i="53"/>
  <c r="H110" i="53" s="1"/>
  <c r="G215" i="53"/>
  <c r="G148" i="53"/>
  <c r="G163" i="53"/>
  <c r="G230" i="53"/>
  <c r="F245" i="55"/>
  <c r="D132" i="55"/>
  <c r="F190" i="55" s="1"/>
  <c r="D134" i="55"/>
  <c r="F192" i="55" s="1"/>
  <c r="F247" i="55"/>
  <c r="F269" i="55"/>
  <c r="D156" i="55"/>
  <c r="F215" i="55" s="1"/>
  <c r="H202" i="53"/>
  <c r="H135" i="53"/>
  <c r="G236" i="53"/>
  <c r="G169" i="53"/>
  <c r="G53" i="53"/>
  <c r="G106" i="53" s="1"/>
  <c r="H174" i="53" s="1"/>
  <c r="F274" i="55"/>
  <c r="D161" i="55"/>
  <c r="F220" i="55" s="1"/>
  <c r="D135" i="55"/>
  <c r="F193" i="55" s="1"/>
  <c r="F248" i="55"/>
  <c r="F272" i="55"/>
  <c r="D159" i="55"/>
  <c r="F218" i="55" s="1"/>
  <c r="E46" i="55"/>
  <c r="E103" i="55" s="1"/>
  <c r="F247" i="53"/>
  <c r="F184" i="53"/>
  <c r="G35" i="55"/>
  <c r="H35" i="55"/>
  <c r="G29" i="53"/>
  <c r="G82" i="53" s="1"/>
  <c r="L31" i="22"/>
  <c r="L58" i="22"/>
  <c r="C89" i="22" s="1"/>
  <c r="G211" i="53"/>
  <c r="G144" i="53"/>
  <c r="G168" i="53"/>
  <c r="G235" i="53"/>
  <c r="F116" i="53"/>
  <c r="F36" i="55"/>
  <c r="F93" i="55" s="1"/>
  <c r="F12" i="55"/>
  <c r="F69" i="55" s="1"/>
  <c r="I13" i="53"/>
  <c r="I66" i="53" s="1"/>
  <c r="H13" i="53"/>
  <c r="H66" i="53" s="1"/>
  <c r="G277" i="55"/>
  <c r="E167" i="55"/>
  <c r="G226" i="55" s="1"/>
  <c r="G44" i="53"/>
  <c r="G97" i="53" s="1"/>
  <c r="E28" i="55"/>
  <c r="E85" i="55" s="1"/>
  <c r="F19" i="55"/>
  <c r="F76" i="55" s="1"/>
  <c r="I38" i="53"/>
  <c r="I91" i="53" s="1"/>
  <c r="H38" i="53"/>
  <c r="H91" i="53" s="1"/>
  <c r="G22" i="53"/>
  <c r="G75" i="53" s="1"/>
  <c r="D11" i="23"/>
  <c r="G20" i="53"/>
  <c r="G73" i="53" s="1"/>
  <c r="E29" i="55"/>
  <c r="E86" i="55" s="1"/>
  <c r="E45" i="55"/>
  <c r="E102" i="55" s="1"/>
  <c r="G145" i="53"/>
  <c r="G212" i="53"/>
  <c r="E68" i="55"/>
  <c r="E124" i="55"/>
  <c r="G182" i="55" s="1"/>
  <c r="G237" i="55"/>
  <c r="E20" i="55"/>
  <c r="E77" i="55" s="1"/>
  <c r="F273" i="55"/>
  <c r="D160" i="55"/>
  <c r="F219" i="55" s="1"/>
  <c r="I161" i="29" l="1"/>
  <c r="I146" i="29"/>
  <c r="I131" i="29"/>
  <c r="I176" i="29"/>
  <c r="E57" i="22"/>
  <c r="D14" i="69" s="1"/>
  <c r="D16" i="69" s="1"/>
  <c r="E38" i="22"/>
  <c r="G37" i="22"/>
  <c r="F59" i="22"/>
  <c r="I25" i="68"/>
  <c r="E262" i="53"/>
  <c r="G254" i="53"/>
  <c r="H37" i="55"/>
  <c r="H94" i="55" s="1"/>
  <c r="G37" i="55"/>
  <c r="G94" i="55" s="1"/>
  <c r="H259" i="55"/>
  <c r="F146" i="55"/>
  <c r="H205" i="55" s="1"/>
  <c r="J156" i="53"/>
  <c r="J223" i="53"/>
  <c r="F191" i="53"/>
  <c r="I223" i="53"/>
  <c r="I156" i="53"/>
  <c r="H258" i="55"/>
  <c r="F145" i="55"/>
  <c r="H204" i="55" s="1"/>
  <c r="H92" i="55"/>
  <c r="G270" i="55"/>
  <c r="E157" i="55"/>
  <c r="G216" i="55" s="1"/>
  <c r="H206" i="53"/>
  <c r="H139" i="53"/>
  <c r="I28" i="53"/>
  <c r="I81" i="53" s="1"/>
  <c r="H28" i="53"/>
  <c r="H81" i="53" s="1"/>
  <c r="F22" i="55"/>
  <c r="F79" i="55" s="1"/>
  <c r="H40" i="55"/>
  <c r="H97" i="55" s="1"/>
  <c r="G40" i="55"/>
  <c r="G97" i="55" s="1"/>
  <c r="G271" i="55"/>
  <c r="E158" i="55"/>
  <c r="G217" i="55" s="1"/>
  <c r="E129" i="55"/>
  <c r="G187" i="55" s="1"/>
  <c r="G242" i="55"/>
  <c r="F29" i="55"/>
  <c r="F86" i="55" s="1"/>
  <c r="I263" i="55"/>
  <c r="G150" i="55"/>
  <c r="I209" i="55" s="1"/>
  <c r="H260" i="55"/>
  <c r="F147" i="55"/>
  <c r="H206" i="55" s="1"/>
  <c r="I19" i="53"/>
  <c r="I72" i="53" s="1"/>
  <c r="H19" i="53"/>
  <c r="H72" i="53" s="1"/>
  <c r="E136" i="55"/>
  <c r="G194" i="55" s="1"/>
  <c r="G249" i="55"/>
  <c r="E133" i="55"/>
  <c r="G191" i="55" s="1"/>
  <c r="G246" i="55"/>
  <c r="F26" i="55"/>
  <c r="F83" i="55" s="1"/>
  <c r="I42" i="53"/>
  <c r="I95" i="53" s="1"/>
  <c r="H42" i="53"/>
  <c r="H95" i="53" s="1"/>
  <c r="J241" i="53"/>
  <c r="J177" i="53"/>
  <c r="G267" i="55"/>
  <c r="E154" i="55"/>
  <c r="G213" i="55" s="1"/>
  <c r="H208" i="53"/>
  <c r="H141" i="53"/>
  <c r="H210" i="53"/>
  <c r="H143" i="53"/>
  <c r="I226" i="53"/>
  <c r="I159" i="53"/>
  <c r="F128" i="55"/>
  <c r="H186" i="55" s="1"/>
  <c r="H241" i="55"/>
  <c r="I44" i="53"/>
  <c r="I97" i="53" s="1"/>
  <c r="H44" i="53"/>
  <c r="H97" i="53" s="1"/>
  <c r="H36" i="55"/>
  <c r="H93" i="55" s="1"/>
  <c r="G36" i="55"/>
  <c r="G93" i="55" s="1"/>
  <c r="L59" i="22"/>
  <c r="G92" i="55"/>
  <c r="F46" i="55"/>
  <c r="F103" i="55" s="1"/>
  <c r="J263" i="55"/>
  <c r="H150" i="55"/>
  <c r="I49" i="53"/>
  <c r="I102" i="53" s="1"/>
  <c r="H49" i="53"/>
  <c r="H102" i="53" s="1"/>
  <c r="F31" i="55"/>
  <c r="F88" i="55" s="1"/>
  <c r="F48" i="55"/>
  <c r="F105" i="55" s="1"/>
  <c r="H235" i="55"/>
  <c r="F122" i="55"/>
  <c r="H180" i="55" s="1"/>
  <c r="I18" i="53"/>
  <c r="I71" i="53" s="1"/>
  <c r="H18" i="53"/>
  <c r="H71" i="53" s="1"/>
  <c r="E101" i="55"/>
  <c r="E61" i="55"/>
  <c r="H38" i="55"/>
  <c r="H95" i="55" s="1"/>
  <c r="G38" i="55"/>
  <c r="G95" i="55" s="1"/>
  <c r="I203" i="53"/>
  <c r="I136" i="53"/>
  <c r="I222" i="53"/>
  <c r="I155" i="53"/>
  <c r="I240" i="53"/>
  <c r="I176" i="53"/>
  <c r="N43" i="22"/>
  <c r="F27" i="55"/>
  <c r="F84" i="55" s="1"/>
  <c r="F49" i="55"/>
  <c r="F106" i="55" s="1"/>
  <c r="F266" i="55"/>
  <c r="D153" i="55"/>
  <c r="F212" i="55" s="1"/>
  <c r="H261" i="55"/>
  <c r="F148" i="55"/>
  <c r="H207" i="55" s="1"/>
  <c r="H209" i="53"/>
  <c r="H142" i="53"/>
  <c r="H231" i="53"/>
  <c r="H164" i="53"/>
  <c r="J204" i="53"/>
  <c r="J137" i="53"/>
  <c r="F51" i="55"/>
  <c r="F108" i="55" s="1"/>
  <c r="I24" i="53"/>
  <c r="I77" i="53" s="1"/>
  <c r="H24" i="53"/>
  <c r="H77" i="53" s="1"/>
  <c r="E282" i="55"/>
  <c r="E283" i="55"/>
  <c r="H211" i="53"/>
  <c r="H144" i="53"/>
  <c r="G272" i="55"/>
  <c r="E159" i="55"/>
  <c r="G218" i="55" s="1"/>
  <c r="G274" i="55"/>
  <c r="E161" i="55"/>
  <c r="G220" i="55" s="1"/>
  <c r="I202" i="53"/>
  <c r="I135" i="53"/>
  <c r="G269" i="55"/>
  <c r="E156" i="55"/>
  <c r="G215" i="55" s="1"/>
  <c r="E132" i="55"/>
  <c r="G190" i="55" s="1"/>
  <c r="G245" i="55"/>
  <c r="H215" i="53"/>
  <c r="H148" i="53"/>
  <c r="H238" i="53"/>
  <c r="H171" i="53"/>
  <c r="H278" i="55"/>
  <c r="F168" i="55"/>
  <c r="H227" i="55" s="1"/>
  <c r="G243" i="55"/>
  <c r="E130" i="55"/>
  <c r="G188" i="55" s="1"/>
  <c r="G268" i="55"/>
  <c r="E155" i="55"/>
  <c r="G214" i="55" s="1"/>
  <c r="H237" i="53"/>
  <c r="H170" i="53"/>
  <c r="E140" i="55"/>
  <c r="G198" i="55" s="1"/>
  <c r="G253" i="55"/>
  <c r="J199" i="53"/>
  <c r="J132" i="53"/>
  <c r="H257" i="55"/>
  <c r="F144" i="55"/>
  <c r="H203" i="55" s="1"/>
  <c r="G114" i="53"/>
  <c r="G250" i="53"/>
  <c r="G187" i="53"/>
  <c r="H16" i="55"/>
  <c r="H73" i="55" s="1"/>
  <c r="G16" i="55"/>
  <c r="G73" i="55" s="1"/>
  <c r="H212" i="53"/>
  <c r="H145" i="53"/>
  <c r="H56" i="55"/>
  <c r="H113" i="55" s="1"/>
  <c r="G56" i="55"/>
  <c r="G113" i="55" s="1"/>
  <c r="H47" i="53"/>
  <c r="H100" i="53" s="1"/>
  <c r="I47" i="53"/>
  <c r="I100" i="53" s="1"/>
  <c r="H236" i="53"/>
  <c r="H169" i="53"/>
  <c r="F25" i="55"/>
  <c r="F82" i="55" s="1"/>
  <c r="H51" i="53"/>
  <c r="H104" i="53" s="1"/>
  <c r="I172" i="53" s="1"/>
  <c r="I51" i="53"/>
  <c r="I104" i="53" s="1"/>
  <c r="H18" i="55"/>
  <c r="H75" i="55" s="1"/>
  <c r="G18" i="55"/>
  <c r="G75" i="55" s="1"/>
  <c r="M30" i="22"/>
  <c r="M58" i="22" s="1"/>
  <c r="D89" i="22" s="1"/>
  <c r="M57" i="22"/>
  <c r="F45" i="55"/>
  <c r="F102" i="55" s="1"/>
  <c r="J226" i="53"/>
  <c r="J159" i="53"/>
  <c r="H232" i="53"/>
  <c r="H165" i="53"/>
  <c r="I201" i="53"/>
  <c r="I134" i="53"/>
  <c r="F121" i="55"/>
  <c r="H179" i="55" s="1"/>
  <c r="H234" i="55"/>
  <c r="H217" i="53"/>
  <c r="H150" i="53"/>
  <c r="I242" i="53"/>
  <c r="I178" i="53"/>
  <c r="I224" i="53"/>
  <c r="I157" i="53"/>
  <c r="H276" i="55"/>
  <c r="F166" i="55"/>
  <c r="H225" i="55" s="1"/>
  <c r="I264" i="55"/>
  <c r="G151" i="55"/>
  <c r="I210" i="55" s="1"/>
  <c r="H233" i="53"/>
  <c r="H166" i="53"/>
  <c r="H252" i="55"/>
  <c r="F139" i="55"/>
  <c r="H197" i="55" s="1"/>
  <c r="H13" i="55"/>
  <c r="H70" i="55" s="1"/>
  <c r="G13" i="55"/>
  <c r="G70" i="55" s="1"/>
  <c r="F284" i="55"/>
  <c r="F285" i="55"/>
  <c r="F178" i="55"/>
  <c r="G246" i="53"/>
  <c r="G183" i="53"/>
  <c r="I198" i="53"/>
  <c r="I131" i="53"/>
  <c r="F44" i="55"/>
  <c r="F101" i="55" s="1"/>
  <c r="G119" i="53"/>
  <c r="G118" i="53"/>
  <c r="J203" i="53"/>
  <c r="J136" i="53"/>
  <c r="J222" i="53"/>
  <c r="J155" i="53"/>
  <c r="J240" i="53"/>
  <c r="J176" i="53"/>
  <c r="H234" i="53"/>
  <c r="H167" i="53"/>
  <c r="J239" i="53"/>
  <c r="J175" i="53"/>
  <c r="I200" i="53"/>
  <c r="I133" i="53"/>
  <c r="I225" i="53"/>
  <c r="I158" i="53"/>
  <c r="J265" i="55"/>
  <c r="H152" i="55"/>
  <c r="I197" i="53"/>
  <c r="I130" i="53"/>
  <c r="H39" i="55"/>
  <c r="H96" i="55" s="1"/>
  <c r="G39" i="55"/>
  <c r="G96" i="55" s="1"/>
  <c r="I21" i="53"/>
  <c r="I74" i="53" s="1"/>
  <c r="H21" i="53"/>
  <c r="H74" i="53" s="1"/>
  <c r="H43" i="53"/>
  <c r="H96" i="53" s="1"/>
  <c r="I43" i="53"/>
  <c r="I96" i="53" s="1"/>
  <c r="H15" i="55"/>
  <c r="H72" i="55" s="1"/>
  <c r="G15" i="55"/>
  <c r="G72" i="55" s="1"/>
  <c r="H11" i="55"/>
  <c r="G11" i="55"/>
  <c r="H277" i="55"/>
  <c r="F167" i="55"/>
  <c r="H226" i="55" s="1"/>
  <c r="E229" i="55"/>
  <c r="G182" i="53"/>
  <c r="G245" i="53"/>
  <c r="I23" i="53"/>
  <c r="I76" i="53" s="1"/>
  <c r="H23" i="53"/>
  <c r="H76" i="53" s="1"/>
  <c r="F50" i="55"/>
  <c r="F107" i="55" s="1"/>
  <c r="F52" i="55"/>
  <c r="F109" i="55" s="1"/>
  <c r="J202" i="53"/>
  <c r="J135" i="53"/>
  <c r="F47" i="55"/>
  <c r="F104" i="55" s="1"/>
  <c r="F23" i="55"/>
  <c r="F80" i="55" s="1"/>
  <c r="I27" i="53"/>
  <c r="I80" i="53" s="1"/>
  <c r="H27" i="53"/>
  <c r="H80" i="53" s="1"/>
  <c r="I50" i="53"/>
  <c r="I103" i="53" s="1"/>
  <c r="H50" i="53"/>
  <c r="H103" i="53" s="1"/>
  <c r="H59" i="55"/>
  <c r="H116" i="55" s="1"/>
  <c r="G59" i="55"/>
  <c r="G116" i="55" s="1"/>
  <c r="F21" i="55"/>
  <c r="F78" i="55" s="1"/>
  <c r="N36" i="22"/>
  <c r="G253" i="53"/>
  <c r="F259" i="53"/>
  <c r="E33" i="55"/>
  <c r="F28" i="55"/>
  <c r="F85" i="55" s="1"/>
  <c r="I25" i="53"/>
  <c r="I78" i="53" s="1"/>
  <c r="H25" i="53"/>
  <c r="H78" i="53" s="1"/>
  <c r="H17" i="55"/>
  <c r="H74" i="55" s="1"/>
  <c r="G17" i="55"/>
  <c r="G74" i="55" s="1"/>
  <c r="H14" i="55"/>
  <c r="H71" i="55" s="1"/>
  <c r="G14" i="55"/>
  <c r="G71" i="55" s="1"/>
  <c r="I204" i="53"/>
  <c r="I137" i="53"/>
  <c r="G273" i="55"/>
  <c r="E160" i="55"/>
  <c r="G219" i="55" s="1"/>
  <c r="E37" i="61"/>
  <c r="B9" i="21"/>
  <c r="I20" i="53"/>
  <c r="I73" i="53" s="1"/>
  <c r="H20" i="53"/>
  <c r="H73" i="53" s="1"/>
  <c r="I22" i="53"/>
  <c r="I75" i="53" s="1"/>
  <c r="H22" i="53"/>
  <c r="H75" i="53" s="1"/>
  <c r="H19" i="55"/>
  <c r="H76" i="55" s="1"/>
  <c r="G19" i="55"/>
  <c r="G76" i="55" s="1"/>
  <c r="F20" i="55"/>
  <c r="F77" i="55" s="1"/>
  <c r="E120" i="55"/>
  <c r="G233" i="55"/>
  <c r="G251" i="55"/>
  <c r="E138" i="55"/>
  <c r="G196" i="55" s="1"/>
  <c r="F11" i="23"/>
  <c r="E11" i="23" s="1"/>
  <c r="E137" i="55"/>
  <c r="G195" i="55" s="1"/>
  <c r="G250" i="55"/>
  <c r="J201" i="53"/>
  <c r="J134" i="53"/>
  <c r="H12" i="55"/>
  <c r="H69" i="55" s="1"/>
  <c r="G12" i="55"/>
  <c r="G69" i="55" s="1"/>
  <c r="G184" i="53"/>
  <c r="G247" i="53"/>
  <c r="I29" i="53"/>
  <c r="I82" i="53" s="1"/>
  <c r="H29" i="53"/>
  <c r="H82" i="53" s="1"/>
  <c r="H53" i="53"/>
  <c r="H106" i="53" s="1"/>
  <c r="I174" i="53" s="1"/>
  <c r="I53" i="53"/>
  <c r="I106" i="53" s="1"/>
  <c r="J242" i="53"/>
  <c r="J178" i="53"/>
  <c r="J224" i="53"/>
  <c r="J157" i="53"/>
  <c r="N56" i="22"/>
  <c r="O53" i="22" s="1"/>
  <c r="H57" i="55"/>
  <c r="H114" i="55" s="1"/>
  <c r="G57" i="55"/>
  <c r="G114" i="55" s="1"/>
  <c r="J264" i="55"/>
  <c r="H151" i="55"/>
  <c r="I45" i="53"/>
  <c r="I98" i="53" s="1"/>
  <c r="H45" i="53"/>
  <c r="H98" i="53" s="1"/>
  <c r="H30" i="55"/>
  <c r="H87" i="55" s="1"/>
  <c r="G30" i="55"/>
  <c r="G87" i="55" s="1"/>
  <c r="I199" i="53"/>
  <c r="I132" i="53"/>
  <c r="G188" i="53"/>
  <c r="G251" i="53"/>
  <c r="J198" i="53"/>
  <c r="J131" i="53"/>
  <c r="H213" i="53"/>
  <c r="H146" i="53"/>
  <c r="H239" i="55"/>
  <c r="F126" i="55"/>
  <c r="H184" i="55" s="1"/>
  <c r="G116" i="53"/>
  <c r="G115" i="53"/>
  <c r="H216" i="53"/>
  <c r="H149" i="53"/>
  <c r="H207" i="53"/>
  <c r="H140" i="53"/>
  <c r="G244" i="55"/>
  <c r="E131" i="55"/>
  <c r="G189" i="55" s="1"/>
  <c r="N44" i="22"/>
  <c r="I46" i="53"/>
  <c r="I99" i="53" s="1"/>
  <c r="H46" i="53"/>
  <c r="H99" i="53" s="1"/>
  <c r="I239" i="53"/>
  <c r="I175" i="53"/>
  <c r="J200" i="53"/>
  <c r="J133" i="53"/>
  <c r="J225" i="53"/>
  <c r="J158" i="53"/>
  <c r="D10" i="55"/>
  <c r="D65" i="55"/>
  <c r="F200" i="55" s="1"/>
  <c r="I52" i="53"/>
  <c r="I105" i="53" s="1"/>
  <c r="H52" i="53"/>
  <c r="H105" i="53" s="1"/>
  <c r="I173" i="53" s="1"/>
  <c r="H262" i="55"/>
  <c r="F149" i="55"/>
  <c r="H208" i="55" s="1"/>
  <c r="I265" i="55"/>
  <c r="G152" i="55"/>
  <c r="I211" i="55" s="1"/>
  <c r="J197" i="53"/>
  <c r="J130" i="53"/>
  <c r="F125" i="55"/>
  <c r="H183" i="55" s="1"/>
  <c r="H238" i="55"/>
  <c r="H236" i="55"/>
  <c r="F123" i="55"/>
  <c r="H181" i="55" s="1"/>
  <c r="F24" i="55"/>
  <c r="F81" i="55" s="1"/>
  <c r="F124" i="55"/>
  <c r="H182" i="55" s="1"/>
  <c r="H237" i="55"/>
  <c r="F68" i="55"/>
  <c r="H44" i="22"/>
  <c r="H275" i="55"/>
  <c r="F165" i="55"/>
  <c r="H224" i="55" s="1"/>
  <c r="H58" i="55"/>
  <c r="H115" i="55" s="1"/>
  <c r="G58" i="55"/>
  <c r="G115" i="55" s="1"/>
  <c r="H235" i="53"/>
  <c r="H168" i="53"/>
  <c r="G248" i="55"/>
  <c r="E135" i="55"/>
  <c r="G193" i="55" s="1"/>
  <c r="I48" i="53"/>
  <c r="I101" i="53" s="1"/>
  <c r="H48" i="53"/>
  <c r="H101" i="53" s="1"/>
  <c r="G247" i="55"/>
  <c r="E134" i="55"/>
  <c r="G192" i="55" s="1"/>
  <c r="H230" i="53"/>
  <c r="H163" i="53"/>
  <c r="I241" i="53"/>
  <c r="I177" i="53"/>
  <c r="H240" i="55"/>
  <c r="F127" i="55"/>
  <c r="H185" i="55" s="1"/>
  <c r="C123" i="29" l="1"/>
  <c r="C138" i="29"/>
  <c r="C168" i="29"/>
  <c r="C153" i="29"/>
  <c r="D36" i="29"/>
  <c r="G59" i="22"/>
  <c r="H37" i="22"/>
  <c r="F35" i="22"/>
  <c r="E60" i="22"/>
  <c r="M31" i="22"/>
  <c r="M59" i="22" s="1"/>
  <c r="J209" i="55"/>
  <c r="E274" i="53"/>
  <c r="E276" i="53" s="1"/>
  <c r="J172" i="53"/>
  <c r="F260" i="53"/>
  <c r="F262" i="53" s="1"/>
  <c r="G146" i="55"/>
  <c r="I205" i="55" s="1"/>
  <c r="I259" i="55"/>
  <c r="G260" i="53"/>
  <c r="H146" i="55"/>
  <c r="J259" i="55"/>
  <c r="F61" i="55"/>
  <c r="G191" i="53"/>
  <c r="J233" i="53"/>
  <c r="J166" i="53"/>
  <c r="I208" i="53"/>
  <c r="I141" i="53"/>
  <c r="J231" i="53"/>
  <c r="J164" i="53"/>
  <c r="H116" i="53"/>
  <c r="H115" i="53"/>
  <c r="H251" i="53"/>
  <c r="H188" i="53"/>
  <c r="J275" i="55"/>
  <c r="H165" i="55"/>
  <c r="J206" i="53"/>
  <c r="J139" i="53"/>
  <c r="H46" i="55"/>
  <c r="H103" i="55" s="1"/>
  <c r="G46" i="55"/>
  <c r="G103" i="55" s="1"/>
  <c r="J230" i="53"/>
  <c r="J163" i="53"/>
  <c r="I262" i="55"/>
  <c r="G149" i="55"/>
  <c r="I208" i="55" s="1"/>
  <c r="J216" i="53"/>
  <c r="J149" i="53"/>
  <c r="F133" i="55"/>
  <c r="H191" i="55" s="1"/>
  <c r="H246" i="55"/>
  <c r="I115" i="53"/>
  <c r="F282" i="55"/>
  <c r="F283" i="55"/>
  <c r="O41" i="22"/>
  <c r="H246" i="53"/>
  <c r="H183" i="53"/>
  <c r="F37" i="61"/>
  <c r="C9" i="21"/>
  <c r="I252" i="55"/>
  <c r="G139" i="55"/>
  <c r="I197" i="55" s="1"/>
  <c r="J276" i="55"/>
  <c r="H166" i="55"/>
  <c r="I217" i="53"/>
  <c r="I150" i="53"/>
  <c r="G121" i="55"/>
  <c r="I179" i="55" s="1"/>
  <c r="I234" i="55"/>
  <c r="G11" i="23"/>
  <c r="C12" i="23" s="1"/>
  <c r="G284" i="55"/>
  <c r="G285" i="55"/>
  <c r="G178" i="55"/>
  <c r="J241" i="55"/>
  <c r="H128" i="55"/>
  <c r="J208" i="53"/>
  <c r="J141" i="53"/>
  <c r="C33" i="29"/>
  <c r="I239" i="55"/>
  <c r="G126" i="55"/>
  <c r="I184" i="55" s="1"/>
  <c r="F137" i="55"/>
  <c r="H195" i="55" s="1"/>
  <c r="H250" i="55"/>
  <c r="N38" i="22"/>
  <c r="O35" i="22" s="1"/>
  <c r="J278" i="55"/>
  <c r="H168" i="55"/>
  <c r="I215" i="53"/>
  <c r="I148" i="53"/>
  <c r="H269" i="55"/>
  <c r="F156" i="55"/>
  <c r="H215" i="55" s="1"/>
  <c r="H274" i="55"/>
  <c r="F161" i="55"/>
  <c r="H220" i="55" s="1"/>
  <c r="I211" i="53"/>
  <c r="I144" i="53"/>
  <c r="H68" i="55"/>
  <c r="I231" i="53"/>
  <c r="I164" i="53"/>
  <c r="J261" i="55"/>
  <c r="H148" i="55"/>
  <c r="H114" i="53"/>
  <c r="H254" i="53"/>
  <c r="H266" i="55"/>
  <c r="F153" i="55"/>
  <c r="I235" i="55"/>
  <c r="G122" i="55"/>
  <c r="I180" i="55" s="1"/>
  <c r="G125" i="55"/>
  <c r="I183" i="55" s="1"/>
  <c r="I238" i="55"/>
  <c r="H245" i="53"/>
  <c r="H182" i="53"/>
  <c r="D290" i="55"/>
  <c r="D292" i="55" s="1"/>
  <c r="J212" i="53"/>
  <c r="J145" i="53"/>
  <c r="H49" i="55"/>
  <c r="H106" i="55" s="1"/>
  <c r="G49" i="55"/>
  <c r="G106" i="55" s="1"/>
  <c r="H48" i="55"/>
  <c r="H105" i="55" s="1"/>
  <c r="G48" i="55"/>
  <c r="G105" i="55" s="1"/>
  <c r="I237" i="53"/>
  <c r="I170" i="53"/>
  <c r="I258" i="55"/>
  <c r="G145" i="55"/>
  <c r="I204" i="55" s="1"/>
  <c r="H248" i="55"/>
  <c r="F135" i="55"/>
  <c r="H193" i="55" s="1"/>
  <c r="H253" i="53"/>
  <c r="J262" i="55"/>
  <c r="H149" i="55"/>
  <c r="H244" i="55"/>
  <c r="F131" i="55"/>
  <c r="H189" i="55" s="1"/>
  <c r="G259" i="53"/>
  <c r="J236" i="53"/>
  <c r="J169" i="53"/>
  <c r="I114" i="53"/>
  <c r="J234" i="53"/>
  <c r="J167" i="53"/>
  <c r="O54" i="22"/>
  <c r="O55" i="22" s="1"/>
  <c r="H123" i="55"/>
  <c r="J236" i="55"/>
  <c r="H23" i="55"/>
  <c r="H80" i="55" s="1"/>
  <c r="G23" i="55"/>
  <c r="G80" i="55" s="1"/>
  <c r="I261" i="55"/>
  <c r="G148" i="55"/>
  <c r="I207" i="55" s="1"/>
  <c r="H25" i="55"/>
  <c r="H82" i="55" s="1"/>
  <c r="G25" i="55"/>
  <c r="G82" i="55" s="1"/>
  <c r="N37" i="22"/>
  <c r="I212" i="53"/>
  <c r="I145" i="53"/>
  <c r="H271" i="55"/>
  <c r="F158" i="55"/>
  <c r="H217" i="55" s="1"/>
  <c r="J260" i="55"/>
  <c r="H147" i="55"/>
  <c r="F120" i="55"/>
  <c r="H233" i="55"/>
  <c r="I277" i="55"/>
  <c r="G167" i="55"/>
  <c r="I226" i="55" s="1"/>
  <c r="I41" i="22"/>
  <c r="F33" i="55"/>
  <c r="H24" i="55"/>
  <c r="H81" i="55" s="1"/>
  <c r="G24" i="55"/>
  <c r="G81" i="55" s="1"/>
  <c r="I119" i="53"/>
  <c r="H247" i="53"/>
  <c r="H184" i="53"/>
  <c r="H139" i="55"/>
  <c r="J197" i="55" s="1"/>
  <c r="J252" i="55"/>
  <c r="J210" i="55"/>
  <c r="J217" i="53"/>
  <c r="J150" i="53"/>
  <c r="J234" i="55"/>
  <c r="H121" i="55"/>
  <c r="F129" i="55"/>
  <c r="H187" i="55" s="1"/>
  <c r="H242" i="55"/>
  <c r="I210" i="53"/>
  <c r="I143" i="53"/>
  <c r="H126" i="55"/>
  <c r="J184" i="55" s="1"/>
  <c r="J239" i="55"/>
  <c r="H28" i="55"/>
  <c r="H85" i="55" s="1"/>
  <c r="G28" i="55"/>
  <c r="G85" i="55" s="1"/>
  <c r="H243" i="55"/>
  <c r="F130" i="55"/>
  <c r="H188" i="55" s="1"/>
  <c r="I238" i="53"/>
  <c r="I171" i="53"/>
  <c r="J215" i="53"/>
  <c r="J148" i="53"/>
  <c r="G47" i="55"/>
  <c r="G104" i="55" s="1"/>
  <c r="H47" i="55"/>
  <c r="H104" i="55" s="1"/>
  <c r="H52" i="55"/>
  <c r="H109" i="55" s="1"/>
  <c r="G52" i="55"/>
  <c r="G109" i="55" s="1"/>
  <c r="J211" i="53"/>
  <c r="J144" i="53"/>
  <c r="G124" i="55"/>
  <c r="I182" i="55" s="1"/>
  <c r="I237" i="55"/>
  <c r="I209" i="53"/>
  <c r="I142" i="53"/>
  <c r="J211" i="55"/>
  <c r="H44" i="55"/>
  <c r="H101" i="55" s="1"/>
  <c r="G44" i="55"/>
  <c r="G101" i="55" s="1"/>
  <c r="F229" i="55"/>
  <c r="H122" i="55"/>
  <c r="J235" i="55"/>
  <c r="H267" i="55"/>
  <c r="F154" i="55"/>
  <c r="H213" i="55" s="1"/>
  <c r="M32" i="22"/>
  <c r="J238" i="55"/>
  <c r="H125" i="55"/>
  <c r="H273" i="55"/>
  <c r="F160" i="55"/>
  <c r="H219" i="55" s="1"/>
  <c r="H27" i="55"/>
  <c r="H84" i="55" s="1"/>
  <c r="G27" i="55"/>
  <c r="G84" i="55" s="1"/>
  <c r="G266" i="55"/>
  <c r="E153" i="55"/>
  <c r="G212" i="55" s="1"/>
  <c r="H31" i="55"/>
  <c r="H88" i="55" s="1"/>
  <c r="G31" i="55"/>
  <c r="G88" i="55" s="1"/>
  <c r="J237" i="53"/>
  <c r="J170" i="53"/>
  <c r="I257" i="55"/>
  <c r="G144" i="55"/>
  <c r="I203" i="55" s="1"/>
  <c r="J258" i="55"/>
  <c r="H145" i="55"/>
  <c r="H26" i="55"/>
  <c r="H83" i="55" s="1"/>
  <c r="G26" i="55"/>
  <c r="G83" i="55" s="1"/>
  <c r="I207" i="53"/>
  <c r="I140" i="53"/>
  <c r="H251" i="55"/>
  <c r="F138" i="55"/>
  <c r="H196" i="55" s="1"/>
  <c r="G22" i="55"/>
  <c r="G79" i="55" s="1"/>
  <c r="H22" i="55"/>
  <c r="H79" i="55" s="1"/>
  <c r="E50" i="61"/>
  <c r="B23" i="21"/>
  <c r="I118" i="53"/>
  <c r="I276" i="55"/>
  <c r="G166" i="55"/>
  <c r="I225" i="55" s="1"/>
  <c r="G128" i="55"/>
  <c r="I186" i="55" s="1"/>
  <c r="I241" i="55"/>
  <c r="J213" i="53"/>
  <c r="J146" i="53"/>
  <c r="I278" i="55"/>
  <c r="G168" i="55"/>
  <c r="I227" i="55" s="1"/>
  <c r="H50" i="55"/>
  <c r="H107" i="55" s="1"/>
  <c r="G50" i="55"/>
  <c r="G107" i="55" s="1"/>
  <c r="G68" i="55"/>
  <c r="H127" i="55"/>
  <c r="J240" i="55"/>
  <c r="I235" i="53"/>
  <c r="I168" i="53"/>
  <c r="H270" i="55"/>
  <c r="F157" i="55"/>
  <c r="H216" i="55" s="1"/>
  <c r="J232" i="53"/>
  <c r="J165" i="53"/>
  <c r="I236" i="53"/>
  <c r="I169" i="53"/>
  <c r="J277" i="55"/>
  <c r="H167" i="55"/>
  <c r="I116" i="53"/>
  <c r="J173" i="53"/>
  <c r="C32" i="29"/>
  <c r="I234" i="53"/>
  <c r="I167" i="53"/>
  <c r="I233" i="53"/>
  <c r="I166" i="53"/>
  <c r="J174" i="53"/>
  <c r="H20" i="55"/>
  <c r="H77" i="55" s="1"/>
  <c r="G20" i="55"/>
  <c r="G77" i="55" s="1"/>
  <c r="J210" i="53"/>
  <c r="J143" i="53"/>
  <c r="I236" i="55"/>
  <c r="G123" i="55"/>
  <c r="I181" i="55" s="1"/>
  <c r="I213" i="53"/>
  <c r="I146" i="53"/>
  <c r="E10" i="55"/>
  <c r="E65" i="55"/>
  <c r="G200" i="55" s="1"/>
  <c r="H21" i="55"/>
  <c r="H78" i="55" s="1"/>
  <c r="G21" i="55"/>
  <c r="G78" i="55" s="1"/>
  <c r="J238" i="53"/>
  <c r="J171" i="53"/>
  <c r="F132" i="55"/>
  <c r="H190" i="55" s="1"/>
  <c r="H245" i="55"/>
  <c r="H272" i="55"/>
  <c r="F159" i="55"/>
  <c r="H218" i="55" s="1"/>
  <c r="J237" i="55"/>
  <c r="H124" i="55"/>
  <c r="J182" i="55" s="1"/>
  <c r="J209" i="53"/>
  <c r="J142" i="53"/>
  <c r="H119" i="53"/>
  <c r="H118" i="53"/>
  <c r="H250" i="53"/>
  <c r="H187" i="53"/>
  <c r="H45" i="55"/>
  <c r="H102" i="55" s="1"/>
  <c r="G45" i="55"/>
  <c r="G102" i="55" s="1"/>
  <c r="I240" i="55"/>
  <c r="G127" i="55"/>
  <c r="I185" i="55" s="1"/>
  <c r="H247" i="55"/>
  <c r="F134" i="55"/>
  <c r="H192" i="55" s="1"/>
  <c r="J235" i="53"/>
  <c r="J168" i="53"/>
  <c r="I275" i="55"/>
  <c r="G165" i="55"/>
  <c r="I224" i="55" s="1"/>
  <c r="E290" i="55"/>
  <c r="G51" i="55"/>
  <c r="G108" i="55" s="1"/>
  <c r="H51" i="55"/>
  <c r="H108" i="55" s="1"/>
  <c r="F136" i="55"/>
  <c r="H194" i="55" s="1"/>
  <c r="H249" i="55"/>
  <c r="I260" i="55"/>
  <c r="G147" i="55"/>
  <c r="I206" i="55" s="1"/>
  <c r="I206" i="53"/>
  <c r="I139" i="53"/>
  <c r="F140" i="55"/>
  <c r="H198" i="55" s="1"/>
  <c r="H253" i="55"/>
  <c r="H268" i="55"/>
  <c r="F155" i="55"/>
  <c r="H214" i="55" s="1"/>
  <c r="I232" i="53"/>
  <c r="I165" i="53"/>
  <c r="I230" i="53"/>
  <c r="I163" i="53"/>
  <c r="J207" i="53"/>
  <c r="J140" i="53"/>
  <c r="H29" i="55"/>
  <c r="H86" i="55" s="1"/>
  <c r="G29" i="55"/>
  <c r="G86" i="55" s="1"/>
  <c r="I216" i="53"/>
  <c r="I149" i="53"/>
  <c r="J257" i="55"/>
  <c r="H144" i="55"/>
  <c r="D153" i="29" l="1"/>
  <c r="D123" i="29"/>
  <c r="D138" i="29"/>
  <c r="D168" i="29"/>
  <c r="F57" i="22"/>
  <c r="E14" i="69" s="1"/>
  <c r="E16" i="69" s="1"/>
  <c r="F38" i="22"/>
  <c r="I37" i="22"/>
  <c r="I59" i="22" s="1"/>
  <c r="H59" i="22"/>
  <c r="F50" i="61"/>
  <c r="E36" i="29"/>
  <c r="J203" i="55"/>
  <c r="F274" i="53"/>
  <c r="F276" i="53" s="1"/>
  <c r="J205" i="55"/>
  <c r="J226" i="55"/>
  <c r="J204" i="55"/>
  <c r="F36" i="29"/>
  <c r="H259" i="53"/>
  <c r="J253" i="53"/>
  <c r="H191" i="53"/>
  <c r="G37" i="61"/>
  <c r="D9" i="21"/>
  <c r="G129" i="55"/>
  <c r="I187" i="55" s="1"/>
  <c r="I242" i="55"/>
  <c r="H131" i="55"/>
  <c r="J244" i="55"/>
  <c r="I266" i="55"/>
  <c r="G153" i="55"/>
  <c r="I212" i="55" s="1"/>
  <c r="G137" i="55"/>
  <c r="I195" i="55" s="1"/>
  <c r="I250" i="55"/>
  <c r="G133" i="55"/>
  <c r="I191" i="55" s="1"/>
  <c r="I246" i="55"/>
  <c r="I271" i="55"/>
  <c r="G158" i="55"/>
  <c r="I217" i="55" s="1"/>
  <c r="D32" i="29"/>
  <c r="D12" i="23"/>
  <c r="D33" i="29"/>
  <c r="I268" i="55"/>
  <c r="G155" i="55"/>
  <c r="I214" i="55" s="1"/>
  <c r="I273" i="55"/>
  <c r="G160" i="55"/>
  <c r="I219" i="55" s="1"/>
  <c r="I250" i="53"/>
  <c r="I187" i="53"/>
  <c r="I243" i="55"/>
  <c r="G130" i="55"/>
  <c r="I188" i="55" s="1"/>
  <c r="J242" i="55"/>
  <c r="H129" i="55"/>
  <c r="J187" i="55" s="1"/>
  <c r="I272" i="55"/>
  <c r="G159" i="55"/>
  <c r="I218" i="55" s="1"/>
  <c r="I244" i="55"/>
  <c r="G131" i="55"/>
  <c r="I189" i="55" s="1"/>
  <c r="N29" i="22"/>
  <c r="M60" i="22"/>
  <c r="J266" i="55"/>
  <c r="H153" i="55"/>
  <c r="I269" i="55"/>
  <c r="G156" i="55"/>
  <c r="I215" i="55" s="1"/>
  <c r="J250" i="55"/>
  <c r="H137" i="55"/>
  <c r="J246" i="55"/>
  <c r="H133" i="55"/>
  <c r="J191" i="55" s="1"/>
  <c r="J208" i="55"/>
  <c r="I270" i="55"/>
  <c r="G157" i="55"/>
  <c r="I216" i="55" s="1"/>
  <c r="J271" i="55"/>
  <c r="H158" i="55"/>
  <c r="E289" i="55"/>
  <c r="E292" i="55" s="1"/>
  <c r="H212" i="55"/>
  <c r="J207" i="55"/>
  <c r="H33" i="55"/>
  <c r="G229" i="55"/>
  <c r="J268" i="55"/>
  <c r="H155" i="55"/>
  <c r="J224" i="55"/>
  <c r="G282" i="55"/>
  <c r="G283" i="55"/>
  <c r="G33" i="55"/>
  <c r="O36" i="22"/>
  <c r="O37" i="22" s="1"/>
  <c r="F290" i="55"/>
  <c r="C23" i="21"/>
  <c r="I251" i="55"/>
  <c r="G138" i="55"/>
  <c r="I196" i="55" s="1"/>
  <c r="F289" i="55"/>
  <c r="I267" i="55"/>
  <c r="G154" i="55"/>
  <c r="I213" i="55" s="1"/>
  <c r="I251" i="53"/>
  <c r="I188" i="53"/>
  <c r="H130" i="55"/>
  <c r="J188" i="55" s="1"/>
  <c r="J243" i="55"/>
  <c r="J272" i="55"/>
  <c r="H159" i="55"/>
  <c r="I248" i="55"/>
  <c r="G135" i="55"/>
  <c r="I193" i="55" s="1"/>
  <c r="G140" i="55"/>
  <c r="I198" i="55" s="1"/>
  <c r="I253" i="55"/>
  <c r="G136" i="55"/>
  <c r="I194" i="55" s="1"/>
  <c r="I249" i="55"/>
  <c r="J180" i="55"/>
  <c r="I274" i="55"/>
  <c r="G161" i="55"/>
  <c r="I220" i="55" s="1"/>
  <c r="F10" i="55"/>
  <c r="F65" i="55"/>
  <c r="H200" i="55" s="1"/>
  <c r="H284" i="55"/>
  <c r="H285" i="55"/>
  <c r="H178" i="55"/>
  <c r="I247" i="55"/>
  <c r="G134" i="55"/>
  <c r="I192" i="55" s="1"/>
  <c r="G132" i="55"/>
  <c r="I190" i="55" s="1"/>
  <c r="I245" i="55"/>
  <c r="O56" i="22"/>
  <c r="P53" i="22" s="1"/>
  <c r="J245" i="53"/>
  <c r="J182" i="53"/>
  <c r="G262" i="53"/>
  <c r="G61" i="55"/>
  <c r="J270" i="55"/>
  <c r="H157" i="55"/>
  <c r="D302" i="55"/>
  <c r="D305" i="55" s="1"/>
  <c r="I253" i="53"/>
  <c r="I245" i="53"/>
  <c r="I182" i="53"/>
  <c r="J233" i="55"/>
  <c r="H120" i="55"/>
  <c r="J227" i="55"/>
  <c r="J246" i="53"/>
  <c r="J183" i="53"/>
  <c r="I246" i="53"/>
  <c r="I183" i="53"/>
  <c r="J273" i="55"/>
  <c r="H160" i="55"/>
  <c r="J269" i="55"/>
  <c r="H156" i="55"/>
  <c r="H138" i="55"/>
  <c r="J196" i="55" s="1"/>
  <c r="J251" i="55"/>
  <c r="J267" i="55"/>
  <c r="H154" i="55"/>
  <c r="J247" i="53"/>
  <c r="J184" i="53"/>
  <c r="J185" i="55"/>
  <c r="G120" i="55"/>
  <c r="I233" i="55"/>
  <c r="J250" i="53"/>
  <c r="J187" i="53"/>
  <c r="H61" i="55"/>
  <c r="H135" i="55"/>
  <c r="J193" i="55" s="1"/>
  <c r="J248" i="55"/>
  <c r="J253" i="55"/>
  <c r="H140" i="55"/>
  <c r="J249" i="55"/>
  <c r="H136" i="55"/>
  <c r="J194" i="55" s="1"/>
  <c r="J183" i="55"/>
  <c r="J274" i="55"/>
  <c r="H161" i="55"/>
  <c r="J179" i="55"/>
  <c r="J251" i="53"/>
  <c r="J188" i="53"/>
  <c r="I44" i="22"/>
  <c r="J206" i="55"/>
  <c r="H134" i="55"/>
  <c r="J192" i="55" s="1"/>
  <c r="J247" i="55"/>
  <c r="H132" i="55"/>
  <c r="J245" i="55"/>
  <c r="J181" i="55"/>
  <c r="J254" i="53"/>
  <c r="J186" i="55"/>
  <c r="J225" i="55"/>
  <c r="O42" i="22"/>
  <c r="O44" i="22" s="1"/>
  <c r="I254" i="53"/>
  <c r="I247" i="53"/>
  <c r="I184" i="53"/>
  <c r="E168" i="29" l="1"/>
  <c r="E153" i="29"/>
  <c r="E123" i="29"/>
  <c r="E138" i="29"/>
  <c r="G35" i="22"/>
  <c r="F60" i="22"/>
  <c r="J214" i="55"/>
  <c r="J216" i="55"/>
  <c r="F292" i="55"/>
  <c r="F302" i="55" s="1"/>
  <c r="F305" i="55" s="1"/>
  <c r="J220" i="55"/>
  <c r="J212" i="55"/>
  <c r="J191" i="53"/>
  <c r="G36" i="29"/>
  <c r="J260" i="53"/>
  <c r="I191" i="53"/>
  <c r="H260" i="53"/>
  <c r="H262" i="53" s="1"/>
  <c r="J213" i="55"/>
  <c r="E302" i="55"/>
  <c r="E305" i="55" s="1"/>
  <c r="H37" i="61"/>
  <c r="E9" i="21"/>
  <c r="P41" i="22"/>
  <c r="J190" i="55"/>
  <c r="J215" i="55"/>
  <c r="O38" i="22"/>
  <c r="P35" i="22" s="1"/>
  <c r="N30" i="22"/>
  <c r="N57" i="22"/>
  <c r="I259" i="53"/>
  <c r="E32" i="29"/>
  <c r="P54" i="22"/>
  <c r="P55" i="22" s="1"/>
  <c r="G10" i="55"/>
  <c r="G65" i="55"/>
  <c r="I200" i="55" s="1"/>
  <c r="H10" i="55"/>
  <c r="H65" i="55"/>
  <c r="J200" i="55" s="1"/>
  <c r="J195" i="55"/>
  <c r="F12" i="23"/>
  <c r="E12" i="23" s="1"/>
  <c r="J189" i="55"/>
  <c r="E33" i="29"/>
  <c r="O43" i="22"/>
  <c r="J198" i="55"/>
  <c r="I284" i="55"/>
  <c r="I285" i="55"/>
  <c r="I178" i="55"/>
  <c r="I229" i="55" s="1"/>
  <c r="J219" i="55"/>
  <c r="J285" i="55"/>
  <c r="J178" i="55"/>
  <c r="J284" i="55"/>
  <c r="G274" i="53"/>
  <c r="G276" i="53" s="1"/>
  <c r="H229" i="55"/>
  <c r="H282" i="55"/>
  <c r="H283" i="55"/>
  <c r="J218" i="55"/>
  <c r="G289" i="55"/>
  <c r="J217" i="55"/>
  <c r="F168" i="29" l="1"/>
  <c r="F153" i="29"/>
  <c r="F123" i="29"/>
  <c r="F138" i="29"/>
  <c r="G57" i="22"/>
  <c r="F14" i="69" s="1"/>
  <c r="F16" i="69" s="1"/>
  <c r="G38" i="22"/>
  <c r="P56" i="22"/>
  <c r="Q53" i="22" s="1"/>
  <c r="Q54" i="22" s="1"/>
  <c r="I260" i="53"/>
  <c r="I262" i="53" s="1"/>
  <c r="P42" i="22"/>
  <c r="P44" i="22" s="1"/>
  <c r="F33" i="29"/>
  <c r="G50" i="61"/>
  <c r="D23" i="21"/>
  <c r="F32" i="29"/>
  <c r="P36" i="22"/>
  <c r="P37" i="22" s="1"/>
  <c r="H36" i="29"/>
  <c r="G12" i="23"/>
  <c r="C13" i="23" s="1"/>
  <c r="H274" i="53"/>
  <c r="H276" i="53" s="1"/>
  <c r="H290" i="55"/>
  <c r="J282" i="55"/>
  <c r="J283" i="55"/>
  <c r="N58" i="22"/>
  <c r="E89" i="22" s="1"/>
  <c r="N31" i="22"/>
  <c r="G290" i="55"/>
  <c r="G292" i="55" s="1"/>
  <c r="J229" i="55"/>
  <c r="I37" i="61"/>
  <c r="F9" i="21"/>
  <c r="I282" i="55"/>
  <c r="I283" i="55"/>
  <c r="N32" i="22"/>
  <c r="J259" i="53"/>
  <c r="J262" i="53" s="1"/>
  <c r="G123" i="29" l="1"/>
  <c r="G138" i="29"/>
  <c r="G168" i="29"/>
  <c r="G153" i="29"/>
  <c r="H35" i="22"/>
  <c r="G60" i="22"/>
  <c r="P43" i="22"/>
  <c r="Q55" i="22"/>
  <c r="Q56" i="22"/>
  <c r="I274" i="53"/>
  <c r="I276" i="53" s="1"/>
  <c r="I36" i="29"/>
  <c r="O29" i="22"/>
  <c r="N60" i="22"/>
  <c r="H9" i="21"/>
  <c r="K37" i="61"/>
  <c r="G302" i="55"/>
  <c r="G305" i="55" s="1"/>
  <c r="I289" i="55"/>
  <c r="G32" i="29"/>
  <c r="G9" i="21"/>
  <c r="J37" i="61"/>
  <c r="H289" i="55"/>
  <c r="H292" i="55" s="1"/>
  <c r="Q41" i="22"/>
  <c r="H32" i="29"/>
  <c r="J274" i="53"/>
  <c r="J276" i="53" s="1"/>
  <c r="I290" i="55"/>
  <c r="G33" i="29"/>
  <c r="N59" i="22"/>
  <c r="J290" i="55"/>
  <c r="D13" i="23"/>
  <c r="P38" i="22"/>
  <c r="Q35" i="22" s="1"/>
  <c r="E23" i="21" l="1"/>
  <c r="I168" i="29"/>
  <c r="I153" i="29"/>
  <c r="I123" i="29"/>
  <c r="I138" i="29"/>
  <c r="H153" i="29"/>
  <c r="H123" i="29"/>
  <c r="H138" i="29"/>
  <c r="H168" i="29"/>
  <c r="H50" i="61"/>
  <c r="H57" i="22"/>
  <c r="G14" i="69" s="1"/>
  <c r="G16" i="69" s="1"/>
  <c r="H38" i="22"/>
  <c r="J50" i="61"/>
  <c r="I292" i="55"/>
  <c r="H302" i="55"/>
  <c r="H305" i="55" s="1"/>
  <c r="Q42" i="22"/>
  <c r="Q44" i="22" s="1"/>
  <c r="I33" i="29"/>
  <c r="H33" i="29"/>
  <c r="F13" i="23"/>
  <c r="E13" i="23" s="1"/>
  <c r="I32" i="29"/>
  <c r="F23" i="21"/>
  <c r="I50" i="61"/>
  <c r="O30" i="22"/>
  <c r="O32" i="22" s="1"/>
  <c r="O57" i="22"/>
  <c r="Q36" i="22"/>
  <c r="Q37" i="22" s="1"/>
  <c r="J289" i="55"/>
  <c r="J292" i="55" s="1"/>
  <c r="H60" i="22" l="1"/>
  <c r="I35" i="22"/>
  <c r="G23" i="21"/>
  <c r="H23" i="21"/>
  <c r="I302" i="55"/>
  <c r="I305" i="55" s="1"/>
  <c r="J302" i="55"/>
  <c r="J305" i="55" s="1"/>
  <c r="O58" i="22"/>
  <c r="F89" i="22" s="1"/>
  <c r="O31" i="22"/>
  <c r="G13" i="23"/>
  <c r="C14" i="23" s="1"/>
  <c r="Q38" i="22"/>
  <c r="P29" i="22"/>
  <c r="O60" i="22"/>
  <c r="Q43" i="22"/>
  <c r="K50" i="61" l="1"/>
  <c r="I57" i="22"/>
  <c r="H14" i="69" s="1"/>
  <c r="H16" i="69" s="1"/>
  <c r="I38" i="22"/>
  <c r="I60" i="22" s="1"/>
  <c r="D14" i="23"/>
  <c r="P30" i="22"/>
  <c r="P58" i="22" s="1"/>
  <c r="G89" i="22" s="1"/>
  <c r="P57" i="22"/>
  <c r="O59" i="22"/>
  <c r="P31" i="22" l="1"/>
  <c r="P59" i="22" s="1"/>
  <c r="F14" i="23"/>
  <c r="E14" i="23" s="1"/>
  <c r="P32" i="22"/>
  <c r="Q29" i="22" l="1"/>
  <c r="P60" i="22"/>
  <c r="G14" i="23"/>
  <c r="C15" i="23" s="1"/>
  <c r="D15" i="23" l="1"/>
  <c r="F15" i="23" s="1"/>
  <c r="E15" i="23" s="1"/>
  <c r="G15" i="23" s="1"/>
  <c r="C16" i="23" s="1"/>
  <c r="Q30" i="22"/>
  <c r="Q57" i="22"/>
  <c r="D16" i="23" l="1"/>
  <c r="E16" i="23" s="1"/>
  <c r="G16" i="23" s="1"/>
  <c r="C17" i="23" s="1"/>
  <c r="Q58" i="22"/>
  <c r="H89" i="22" s="1"/>
  <c r="Q31" i="22"/>
  <c r="Q59" i="22" s="1"/>
  <c r="Q32" i="22"/>
  <c r="Q60" i="22" s="1"/>
  <c r="D17" i="23" l="1"/>
  <c r="E17" i="23" s="1"/>
  <c r="G17" i="23" s="1"/>
  <c r="C18" i="23" s="1"/>
  <c r="D18" i="23" l="1"/>
  <c r="E18" i="23" s="1"/>
  <c r="G18" i="23" s="1"/>
  <c r="C19" i="23" s="1"/>
  <c r="D19" i="23" l="1"/>
  <c r="E19" i="23" s="1"/>
  <c r="G19" i="23" s="1"/>
  <c r="C20" i="23" s="1"/>
  <c r="D20" i="23" l="1"/>
  <c r="E20" i="23" s="1"/>
  <c r="G20" i="23" s="1"/>
  <c r="C21" i="23" s="1"/>
  <c r="D21" i="23" l="1"/>
  <c r="E21" i="23" l="1"/>
  <c r="C28" i="68"/>
  <c r="B51" i="21" s="1"/>
  <c r="C109" i="29" l="1"/>
  <c r="C27" i="68"/>
  <c r="G21" i="23"/>
  <c r="B29" i="69" l="1"/>
  <c r="C22" i="23"/>
  <c r="C112" i="29"/>
  <c r="D22" i="23" l="1"/>
  <c r="E22" i="23" l="1"/>
  <c r="G22" i="23" l="1"/>
  <c r="C23" i="23" s="1"/>
  <c r="D23" i="23" l="1"/>
  <c r="E23" i="23" l="1"/>
  <c r="G23" i="23" l="1"/>
  <c r="C24" i="23" s="1"/>
  <c r="D24" i="23" l="1"/>
  <c r="E24" i="23" l="1"/>
  <c r="G24" i="23" l="1"/>
  <c r="C25" i="23" s="1"/>
  <c r="D25" i="23" l="1"/>
  <c r="E25" i="23" l="1"/>
  <c r="G25" i="23" l="1"/>
  <c r="C26" i="23" s="1"/>
  <c r="D26" i="23" l="1"/>
  <c r="E26" i="23" l="1"/>
  <c r="G26" i="23" l="1"/>
  <c r="C27" i="23" s="1"/>
  <c r="D27" i="23" l="1"/>
  <c r="E27" i="23" s="1"/>
  <c r="G27" i="23" s="1"/>
  <c r="C28" i="23" s="1"/>
  <c r="D28" i="23" l="1"/>
  <c r="E28" i="23" s="1"/>
  <c r="G28" i="23" s="1"/>
  <c r="C29" i="23" s="1"/>
  <c r="D29" i="23" l="1"/>
  <c r="E29" i="23" s="1"/>
  <c r="G29" i="23" s="1"/>
  <c r="C30" i="23" s="1"/>
  <c r="D30" i="23" l="1"/>
  <c r="E30" i="23" s="1"/>
  <c r="G30" i="23" s="1"/>
  <c r="C31" i="23" s="1"/>
  <c r="D31" i="23" l="1"/>
  <c r="E31" i="23" s="1"/>
  <c r="G31" i="23" s="1"/>
  <c r="C32" i="23" s="1"/>
  <c r="D32" i="23" l="1"/>
  <c r="E32" i="23" s="1"/>
  <c r="G32" i="23" s="1"/>
  <c r="C33" i="23" s="1"/>
  <c r="D33" i="23" l="1"/>
  <c r="E33" i="23" l="1"/>
  <c r="D28" i="68"/>
  <c r="C51" i="21" s="1"/>
  <c r="D109" i="29" l="1"/>
  <c r="D27" i="68"/>
  <c r="G33" i="23"/>
  <c r="C34" i="23" s="1"/>
  <c r="D34" i="23" s="1"/>
  <c r="E34" i="23" s="1"/>
  <c r="G34" i="23" s="1"/>
  <c r="C35" i="23" s="1"/>
  <c r="D35" i="23" s="1"/>
  <c r="E35" i="23" s="1"/>
  <c r="G35" i="23" s="1"/>
  <c r="C36" i="23" s="1"/>
  <c r="D36" i="23" s="1"/>
  <c r="E36" i="23" s="1"/>
  <c r="G36" i="23" s="1"/>
  <c r="C37" i="23" s="1"/>
  <c r="D37" i="23" s="1"/>
  <c r="E37" i="23" s="1"/>
  <c r="G37" i="23" s="1"/>
  <c r="C38" i="23" s="1"/>
  <c r="D38" i="23" s="1"/>
  <c r="E38" i="23" s="1"/>
  <c r="G38" i="23" s="1"/>
  <c r="C39" i="23" s="1"/>
  <c r="D39" i="23" s="1"/>
  <c r="E39" i="23" s="1"/>
  <c r="G39" i="23" s="1"/>
  <c r="C40" i="23" s="1"/>
  <c r="D40" i="23" s="1"/>
  <c r="E40" i="23" s="1"/>
  <c r="G40" i="23" s="1"/>
  <c r="C41" i="23" s="1"/>
  <c r="D41" i="23" s="1"/>
  <c r="E41" i="23" s="1"/>
  <c r="G41" i="23" s="1"/>
  <c r="C42" i="23" s="1"/>
  <c r="D42" i="23" s="1"/>
  <c r="E42" i="23" s="1"/>
  <c r="G42" i="23" s="1"/>
  <c r="C43" i="23" s="1"/>
  <c r="D43" i="23" s="1"/>
  <c r="E43" i="23" s="1"/>
  <c r="G43" i="23" s="1"/>
  <c r="C44" i="23" s="1"/>
  <c r="D44" i="23" l="1"/>
  <c r="E44" i="23" s="1"/>
  <c r="G44" i="23" s="1"/>
  <c r="C45" i="23" s="1"/>
  <c r="C29" i="69"/>
  <c r="D112" i="29"/>
  <c r="D45" i="23" l="1"/>
  <c r="E45" i="23" s="1"/>
  <c r="G45" i="23" s="1"/>
  <c r="C46" i="23" s="1"/>
  <c r="D46" i="23" s="1"/>
  <c r="E46" i="23" s="1"/>
  <c r="G46" i="23" s="1"/>
  <c r="C47" i="23" s="1"/>
  <c r="D47" i="23" l="1"/>
  <c r="E47" i="23" s="1"/>
  <c r="G47" i="23" s="1"/>
  <c r="C48" i="23" s="1"/>
  <c r="D48" i="23" s="1"/>
  <c r="E48" i="23" s="1"/>
  <c r="G48" i="23" s="1"/>
  <c r="C49" i="23" s="1"/>
  <c r="D49" i="23" s="1"/>
  <c r="E49" i="23" s="1"/>
  <c r="G49" i="23" s="1"/>
  <c r="C50" i="23" s="1"/>
  <c r="D50" i="23" s="1"/>
  <c r="E50" i="23" s="1"/>
  <c r="G50" i="23" s="1"/>
  <c r="C51" i="23" s="1"/>
  <c r="D51" i="23" s="1"/>
  <c r="E51" i="23" s="1"/>
  <c r="G51" i="23" s="1"/>
  <c r="C52" i="23" s="1"/>
  <c r="E28" i="68"/>
  <c r="E27" i="68"/>
  <c r="E109" i="29" l="1"/>
  <c r="D51" i="21"/>
  <c r="D52" i="23"/>
  <c r="E52" i="23" s="1"/>
  <c r="G52" i="23" s="1"/>
  <c r="C53" i="23" s="1"/>
  <c r="D53" i="23" s="1"/>
  <c r="E53" i="23" s="1"/>
  <c r="G53" i="23" s="1"/>
  <c r="C54" i="23" s="1"/>
  <c r="E112" i="29"/>
  <c r="D29" i="69"/>
  <c r="D54" i="23" l="1"/>
  <c r="E54" i="23" s="1"/>
  <c r="G54" i="23" s="1"/>
  <c r="C55" i="23" s="1"/>
  <c r="D55" i="23" l="1"/>
  <c r="E55" i="23" s="1"/>
  <c r="G55" i="23" s="1"/>
  <c r="C56" i="23" s="1"/>
  <c r="D56" i="23" s="1"/>
  <c r="E56" i="23" l="1"/>
  <c r="G56" i="23" l="1"/>
  <c r="C57" i="23" s="1"/>
  <c r="D57" i="23" l="1"/>
  <c r="E57" i="23" l="1"/>
  <c r="F28" i="68"/>
  <c r="H28" i="68"/>
  <c r="F109" i="29" l="1"/>
  <c r="E51" i="21"/>
  <c r="F27" i="68"/>
  <c r="F112" i="29" s="1"/>
  <c r="G57" i="23"/>
  <c r="H109" i="29"/>
  <c r="H27" i="68"/>
  <c r="E29" i="69" l="1"/>
  <c r="C58" i="23"/>
  <c r="H112" i="29"/>
  <c r="G29" i="69"/>
  <c r="D58" i="23" l="1"/>
  <c r="I28" i="68"/>
  <c r="E58" i="23" l="1"/>
  <c r="I109" i="29"/>
  <c r="I27" i="68"/>
  <c r="G58" i="23" l="1"/>
  <c r="C59" i="23" s="1"/>
  <c r="D59" i="23" s="1"/>
  <c r="I112" i="29"/>
  <c r="E59" i="23" l="1"/>
  <c r="H318" i="84"/>
  <c r="H457" i="84"/>
  <c r="H458" i="84" s="1"/>
  <c r="E318" i="84"/>
  <c r="E457" i="84"/>
  <c r="E458" i="84" s="1"/>
  <c r="I318" i="84"/>
  <c r="G318" i="84"/>
  <c r="F318" i="84"/>
  <c r="G457" i="84"/>
  <c r="G458" i="84" s="1"/>
  <c r="F457" i="84"/>
  <c r="F458" i="84" s="1"/>
  <c r="D318" i="84"/>
  <c r="D457" i="84"/>
  <c r="D458" i="84" s="1"/>
  <c r="C457" i="84"/>
  <c r="C458" i="84" s="1"/>
  <c r="B86" i="84"/>
  <c r="C318" i="84" l="1"/>
  <c r="C320" i="84" s="1"/>
  <c r="C319" i="84" s="1"/>
  <c r="C206" i="84" s="1"/>
  <c r="L87" i="84"/>
  <c r="G59" i="23"/>
  <c r="C60" i="23" s="1"/>
  <c r="D60" i="23" s="1"/>
  <c r="C460" i="84"/>
  <c r="C462" i="84" s="1"/>
  <c r="G460" i="84"/>
  <c r="G462" i="84" s="1"/>
  <c r="E460" i="84"/>
  <c r="E462" i="84" s="1"/>
  <c r="D460" i="84"/>
  <c r="D462" i="84" s="1"/>
  <c r="H460" i="84"/>
  <c r="H462" i="84" s="1"/>
  <c r="F460" i="84"/>
  <c r="F462" i="84" s="1"/>
  <c r="E60" i="23" l="1"/>
  <c r="C208" i="84"/>
  <c r="D317" i="84"/>
  <c r="C334" i="84"/>
  <c r="G60" i="23" l="1"/>
  <c r="C61" i="23" s="1"/>
  <c r="D61" i="23" s="1"/>
  <c r="D320" i="84"/>
  <c r="D319" i="84" s="1"/>
  <c r="D206" i="84" s="1"/>
  <c r="D333" i="84"/>
  <c r="E61" i="23" l="1"/>
  <c r="D208" i="84"/>
  <c r="E317" i="84"/>
  <c r="D334" i="84"/>
  <c r="G61" i="23" l="1"/>
  <c r="C62" i="23" s="1"/>
  <c r="D62" i="23" s="1"/>
  <c r="F9" i="61"/>
  <c r="E333" i="84"/>
  <c r="E320" i="84"/>
  <c r="E319" i="84" s="1"/>
  <c r="E206" i="84" s="1"/>
  <c r="E62" i="23" l="1"/>
  <c r="E208" i="84"/>
  <c r="E334" i="84"/>
  <c r="F317" i="84"/>
  <c r="G62" i="23" l="1"/>
  <c r="C63" i="23" s="1"/>
  <c r="D63" i="23" s="1"/>
  <c r="G9" i="61"/>
  <c r="F320" i="84"/>
  <c r="F333" i="84"/>
  <c r="E63" i="23" l="1"/>
  <c r="G63" i="23" s="1"/>
  <c r="C64" i="23" s="1"/>
  <c r="D64" i="23" s="1"/>
  <c r="E64" i="23" s="1"/>
  <c r="G64" i="23" s="1"/>
  <c r="C65" i="23" s="1"/>
  <c r="D65" i="23" s="1"/>
  <c r="E65" i="23" s="1"/>
  <c r="G65" i="23" s="1"/>
  <c r="C66" i="23" s="1"/>
  <c r="D66" i="23" s="1"/>
  <c r="E66" i="23" s="1"/>
  <c r="G66" i="23" s="1"/>
  <c r="C67" i="23" s="1"/>
  <c r="G317" i="84"/>
  <c r="F334" i="84"/>
  <c r="F319" i="84"/>
  <c r="F206" i="84" s="1"/>
  <c r="D67" i="23" l="1"/>
  <c r="E67" i="23" s="1"/>
  <c r="G67" i="23" s="1"/>
  <c r="C68" i="23" s="1"/>
  <c r="H9" i="61"/>
  <c r="F208" i="84"/>
  <c r="G333" i="84"/>
  <c r="G320" i="84"/>
  <c r="D68" i="23" l="1"/>
  <c r="E68" i="23" s="1"/>
  <c r="G68" i="23" s="1"/>
  <c r="C69" i="23" s="1"/>
  <c r="D69" i="23" s="1"/>
  <c r="H317" i="84"/>
  <c r="G334" i="84"/>
  <c r="G319" i="84"/>
  <c r="G206" i="84" s="1"/>
  <c r="E69" i="23" l="1"/>
  <c r="G28" i="68"/>
  <c r="D94" i="23"/>
  <c r="I9" i="61"/>
  <c r="G208" i="84"/>
  <c r="H320" i="84"/>
  <c r="H319" i="84" s="1"/>
  <c r="H206" i="84" s="1"/>
  <c r="H333" i="84"/>
  <c r="F51" i="21" l="1"/>
  <c r="G109" i="29"/>
  <c r="G69" i="23"/>
  <c r="F29" i="69" s="1"/>
  <c r="E94" i="23"/>
  <c r="G27" i="68"/>
  <c r="G112" i="29" s="1"/>
  <c r="J9" i="61"/>
  <c r="H208" i="84"/>
  <c r="H334" i="84"/>
  <c r="I317" i="84"/>
  <c r="I333" i="84" l="1"/>
  <c r="I320" i="84"/>
  <c r="I334" i="84" s="1"/>
  <c r="I319" i="84" l="1"/>
  <c r="I206" i="84" s="1"/>
  <c r="K9" i="61" l="1"/>
  <c r="I208" i="84"/>
  <c r="D601" i="84" l="1"/>
  <c r="D603" i="84" s="1"/>
  <c r="E139" i="84" s="1"/>
  <c r="E601" i="84" l="1"/>
  <c r="E603" i="84" s="1"/>
  <c r="F139" i="84" s="1"/>
  <c r="F601" i="84" l="1"/>
  <c r="F603" i="84" s="1"/>
  <c r="G139" i="84" s="1"/>
  <c r="G601" i="84" l="1"/>
  <c r="G603" i="84" s="1"/>
  <c r="H139" i="84" s="1"/>
  <c r="H601" i="84" l="1"/>
  <c r="H603" i="84" s="1"/>
  <c r="I139" i="84" s="1"/>
  <c r="I601" i="84" l="1"/>
  <c r="I603" i="84" s="1"/>
  <c r="J139" i="84" s="1"/>
  <c r="Q68" i="84" l="1"/>
  <c r="J14" i="83"/>
  <c r="B73" i="84"/>
  <c r="D154" i="84" s="1"/>
  <c r="C32" i="83"/>
  <c r="B78" i="84"/>
  <c r="C264" i="84" s="1"/>
  <c r="C265" i="84" s="1"/>
  <c r="C192" i="84" s="1"/>
  <c r="C194" i="84" s="1"/>
  <c r="B119" i="84"/>
  <c r="B76" i="84"/>
  <c r="C252" i="84" s="1"/>
  <c r="B77" i="84"/>
  <c r="B28" i="84"/>
  <c r="B122" i="84" l="1"/>
  <c r="C594" i="84" s="1"/>
  <c r="C599" i="84" s="1"/>
  <c r="C601" i="84" s="1"/>
  <c r="B566" i="84"/>
  <c r="B578" i="84"/>
  <c r="I28" i="84"/>
  <c r="B516" i="84"/>
  <c r="B517" i="84" s="1"/>
  <c r="B515" i="84" s="1"/>
  <c r="B469" i="84" s="1"/>
  <c r="B472" i="84" s="1"/>
  <c r="C258" i="84"/>
  <c r="C259" i="84" s="1"/>
  <c r="C188" i="84" s="1"/>
  <c r="C190" i="84" s="1"/>
  <c r="J62" i="84"/>
  <c r="J65" i="84" s="1"/>
  <c r="J90" i="84" s="1"/>
  <c r="J91" i="84" s="1"/>
  <c r="B31" i="84"/>
  <c r="B43" i="84"/>
  <c r="C254" i="84"/>
  <c r="C253" i="84" s="1"/>
  <c r="C185" i="84" s="1"/>
  <c r="B95" i="84"/>
  <c r="B98" i="84" s="1"/>
  <c r="C596" i="84"/>
  <c r="B120" i="84"/>
  <c r="B542" i="84"/>
  <c r="B530" i="84"/>
  <c r="L85" i="84"/>
  <c r="B457" i="84"/>
  <c r="B458" i="84" s="1"/>
  <c r="B460" i="84" s="1"/>
  <c r="B462" i="84" s="1"/>
  <c r="D150" i="84"/>
  <c r="D152" i="84"/>
  <c r="D155" i="84"/>
  <c r="D157" i="84"/>
  <c r="D151" i="84"/>
  <c r="C575" i="84" l="1"/>
  <c r="C576" i="84" s="1"/>
  <c r="B584" i="84"/>
  <c r="C583" i="84" s="1"/>
  <c r="B576" i="84"/>
  <c r="C563" i="84"/>
  <c r="C564" i="84" s="1"/>
  <c r="B572" i="84"/>
  <c r="C571" i="84" s="1"/>
  <c r="B564" i="84"/>
  <c r="B496" i="84" s="1"/>
  <c r="B499" i="84" s="1"/>
  <c r="I31" i="84"/>
  <c r="B553" i="84"/>
  <c r="B524" i="84"/>
  <c r="C523" i="84" s="1"/>
  <c r="C514" i="84"/>
  <c r="C515" i="84" s="1"/>
  <c r="C469" i="84" s="1"/>
  <c r="C472" i="84" s="1"/>
  <c r="C603" i="84"/>
  <c r="D139" i="84" s="1"/>
  <c r="L88" i="84"/>
  <c r="K85" i="84" s="1"/>
  <c r="C496" i="84"/>
  <c r="C499" i="84" s="1"/>
  <c r="C286" i="84"/>
  <c r="D285" i="84" s="1"/>
  <c r="C275" i="84"/>
  <c r="D274" i="84" s="1"/>
  <c r="D251" i="84"/>
  <c r="C187" i="84"/>
  <c r="B528" i="84"/>
  <c r="B474" i="84" s="1"/>
  <c r="B477" i="84" s="1"/>
  <c r="C527" i="84"/>
  <c r="C528" i="84" s="1"/>
  <c r="C474" i="84" s="1"/>
  <c r="C477" i="84" s="1"/>
  <c r="B536" i="84"/>
  <c r="C535" i="84" s="1"/>
  <c r="C501" i="84"/>
  <c r="C504" i="84" s="1"/>
  <c r="B501" i="84"/>
  <c r="B504" i="84" s="1"/>
  <c r="B548" i="84"/>
  <c r="C547" i="84" s="1"/>
  <c r="C539" i="84"/>
  <c r="C540" i="84" s="1"/>
  <c r="C479" i="84" s="1"/>
  <c r="C482" i="84" s="1"/>
  <c r="B540" i="84"/>
  <c r="B479" i="84" s="1"/>
  <c r="B482" i="84" s="1"/>
  <c r="B38" i="84"/>
  <c r="B39" i="84"/>
  <c r="B554" i="84" l="1"/>
  <c r="B552" i="84" s="1"/>
  <c r="B484" i="84" s="1"/>
  <c r="B487" i="84" s="1"/>
  <c r="J38" i="84"/>
  <c r="D254" i="84"/>
  <c r="D253" i="84" s="1"/>
  <c r="D185" i="84" s="1"/>
  <c r="K86" i="84"/>
  <c r="K87" i="84"/>
  <c r="B560" i="84" l="1"/>
  <c r="C551" i="84"/>
  <c r="C552" i="84" s="1"/>
  <c r="C484" i="84" s="1"/>
  <c r="C487" i="84" s="1"/>
  <c r="C506" i="84" s="1"/>
  <c r="E149" i="84" s="1"/>
  <c r="D187" i="84"/>
  <c r="D275" i="84"/>
  <c r="E274" i="84" s="1"/>
  <c r="D286" i="84"/>
  <c r="E285" i="84" s="1"/>
  <c r="E251" i="84"/>
  <c r="C559" i="84" l="1"/>
  <c r="B587" i="84"/>
  <c r="E254" i="84"/>
  <c r="D161" i="84" l="1"/>
  <c r="C586" i="84"/>
  <c r="E160" i="84" s="1"/>
  <c r="E286" i="84"/>
  <c r="F285" i="84" s="1"/>
  <c r="E275" i="84"/>
  <c r="F274" i="84" s="1"/>
  <c r="F251" i="84"/>
  <c r="E253" i="84"/>
  <c r="E185" i="84" s="1"/>
  <c r="F254" i="84" l="1"/>
  <c r="F253" i="84" s="1"/>
  <c r="F185" i="84" s="1"/>
  <c r="E187" i="84"/>
  <c r="F286" i="84" l="1"/>
  <c r="G285" i="84" s="1"/>
  <c r="F275" i="84"/>
  <c r="G274" i="84" s="1"/>
  <c r="G251" i="84"/>
  <c r="F187" i="84"/>
  <c r="G254" i="84" l="1"/>
  <c r="G253" i="84" s="1"/>
  <c r="G185" i="84" s="1"/>
  <c r="G286" i="84" l="1"/>
  <c r="H285" i="84" s="1"/>
  <c r="G275" i="84"/>
  <c r="H274" i="84" s="1"/>
  <c r="H251" i="84"/>
  <c r="G187" i="84"/>
  <c r="H254" i="84" l="1"/>
  <c r="H253" i="84" s="1"/>
  <c r="H185" i="84" s="1"/>
  <c r="H275" i="84" l="1"/>
  <c r="I274" i="84" s="1"/>
  <c r="H286" i="84"/>
  <c r="I285" i="84" s="1"/>
  <c r="I251" i="84"/>
  <c r="H187" i="84"/>
  <c r="I254" i="84" l="1"/>
  <c r="I253" i="84" s="1"/>
  <c r="I185" i="84" s="1"/>
  <c r="I187" i="84" l="1"/>
  <c r="I275" i="84"/>
  <c r="I286" i="84"/>
  <c r="B92" i="84"/>
  <c r="B124" i="84"/>
  <c r="B126" i="84" s="1"/>
  <c r="B97" i="84"/>
  <c r="B489" i="84" s="1"/>
  <c r="B492" i="84" s="1"/>
  <c r="B506" i="84" s="1"/>
  <c r="D149" i="84" s="1"/>
  <c r="B96" i="84"/>
  <c r="B37" i="84" s="1"/>
  <c r="J37" i="84" s="1"/>
  <c r="C343" i="84"/>
  <c r="C345" i="84" s="1"/>
  <c r="C375" i="84" l="1"/>
  <c r="D374" i="84" s="1"/>
  <c r="C353" i="84"/>
  <c r="D352" i="84" s="1"/>
  <c r="D342" i="84"/>
  <c r="C344" i="84"/>
  <c r="C219" i="84" s="1"/>
  <c r="C221" i="84" s="1"/>
  <c r="B36" i="84"/>
  <c r="J36" i="84" l="1"/>
  <c r="L37" i="84"/>
  <c r="C360" i="84"/>
  <c r="D345" i="84"/>
  <c r="C362" i="84" l="1"/>
  <c r="D353" i="84"/>
  <c r="E352" i="84" s="1"/>
  <c r="D375" i="84"/>
  <c r="E374" i="84" s="1"/>
  <c r="E342" i="84"/>
  <c r="D344" i="84"/>
  <c r="D219" i="84" s="1"/>
  <c r="D221" i="84" s="1"/>
  <c r="C369" i="84" l="1"/>
  <c r="D359" i="84"/>
  <c r="E345" i="84"/>
  <c r="E344" i="84" s="1"/>
  <c r="E219" i="84" s="1"/>
  <c r="E221" i="84" s="1"/>
  <c r="C361" i="84"/>
  <c r="C214" i="84" s="1"/>
  <c r="D362" i="84" l="1"/>
  <c r="D156" i="84"/>
  <c r="C216" i="84"/>
  <c r="C245" i="84" s="1"/>
  <c r="D137" i="84" s="1"/>
  <c r="D368" i="84"/>
  <c r="C438" i="84"/>
  <c r="E353" i="84"/>
  <c r="F352" i="84" s="1"/>
  <c r="E375" i="84"/>
  <c r="F374" i="84" s="1"/>
  <c r="F342" i="84"/>
  <c r="D163" i="84" l="1"/>
  <c r="E52" i="61"/>
  <c r="E54" i="61" s="1"/>
  <c r="B26" i="69" s="1"/>
  <c r="C12" i="68" s="1"/>
  <c r="B18" i="21"/>
  <c r="D144" i="84"/>
  <c r="D437" i="84"/>
  <c r="E17" i="61"/>
  <c r="D369" i="84"/>
  <c r="E359" i="84"/>
  <c r="F345" i="84"/>
  <c r="F344" i="84" s="1"/>
  <c r="F219" i="84" s="1"/>
  <c r="F221" i="84" s="1"/>
  <c r="D361" i="84"/>
  <c r="D214" i="84" s="1"/>
  <c r="D141" i="84"/>
  <c r="B13" i="21"/>
  <c r="C172" i="29" l="1"/>
  <c r="C127" i="29"/>
  <c r="C157" i="29"/>
  <c r="C142" i="29"/>
  <c r="B19" i="21"/>
  <c r="E39" i="61"/>
  <c r="E40" i="61" s="1"/>
  <c r="E362" i="84"/>
  <c r="E361" i="84" s="1"/>
  <c r="E214" i="84" s="1"/>
  <c r="C173" i="29"/>
  <c r="C158" i="29"/>
  <c r="C128" i="29"/>
  <c r="C143" i="29"/>
  <c r="D216" i="84"/>
  <c r="E156" i="84"/>
  <c r="F8" i="61"/>
  <c r="F12" i="61" s="1"/>
  <c r="E21" i="61"/>
  <c r="E42" i="61" s="1"/>
  <c r="B11" i="69" s="1"/>
  <c r="E368" i="84"/>
  <c r="D438" i="84"/>
  <c r="F353" i="84"/>
  <c r="G352" i="84" s="1"/>
  <c r="F375" i="84"/>
  <c r="G374" i="84" s="1"/>
  <c r="G342" i="84"/>
  <c r="E143" i="84"/>
  <c r="C17" i="21"/>
  <c r="D173" i="84"/>
  <c r="D175" i="84" s="1"/>
  <c r="B27" i="21"/>
  <c r="B29" i="21" s="1"/>
  <c r="D245" i="84" l="1"/>
  <c r="E137" i="84" s="1"/>
  <c r="C144" i="29"/>
  <c r="C18" i="21"/>
  <c r="E437" i="84"/>
  <c r="F17" i="61"/>
  <c r="E144" i="84"/>
  <c r="F52" i="61"/>
  <c r="F54" i="61" s="1"/>
  <c r="C26" i="69" s="1"/>
  <c r="D12" i="68" s="1"/>
  <c r="E163" i="84"/>
  <c r="B9" i="69"/>
  <c r="C13" i="68" s="1"/>
  <c r="E44" i="61"/>
  <c r="E55" i="61" s="1"/>
  <c r="C159" i="29"/>
  <c r="G345" i="84"/>
  <c r="C129" i="29"/>
  <c r="C162" i="29"/>
  <c r="C163" i="29" s="1"/>
  <c r="B42" i="21"/>
  <c r="B44" i="21" s="1"/>
  <c r="B49" i="21" s="1"/>
  <c r="C132" i="29"/>
  <c r="C133" i="29" s="1"/>
  <c r="C24" i="68"/>
  <c r="C147" i="29"/>
  <c r="C148" i="29" s="1"/>
  <c r="C149" i="29" s="1"/>
  <c r="C177" i="29"/>
  <c r="C178" i="29" s="1"/>
  <c r="E369" i="84"/>
  <c r="F359" i="84"/>
  <c r="C6" i="68"/>
  <c r="C174" i="29"/>
  <c r="E216" i="84"/>
  <c r="F156" i="84"/>
  <c r="C179" i="29" l="1"/>
  <c r="E141" i="84"/>
  <c r="C13" i="21"/>
  <c r="D157" i="29" s="1"/>
  <c r="E245" i="84"/>
  <c r="F137" i="84" s="1"/>
  <c r="F163" i="84"/>
  <c r="G52" i="61"/>
  <c r="G54" i="61" s="1"/>
  <c r="D26" i="69" s="1"/>
  <c r="E12" i="68" s="1"/>
  <c r="K24" i="68"/>
  <c r="C134" i="29"/>
  <c r="C11" i="68"/>
  <c r="E56" i="61"/>
  <c r="E57" i="61"/>
  <c r="D11" i="62" s="1"/>
  <c r="G8" i="61"/>
  <c r="G12" i="61" s="1"/>
  <c r="F21" i="61"/>
  <c r="F42" i="61" s="1"/>
  <c r="C11" i="69" s="1"/>
  <c r="F362" i="84"/>
  <c r="F361" i="84" s="1"/>
  <c r="F214" i="84" s="1"/>
  <c r="F39" i="61"/>
  <c r="F40" i="61" s="1"/>
  <c r="G375" i="84"/>
  <c r="H374" i="84" s="1"/>
  <c r="G353" i="84"/>
  <c r="H352" i="84" s="1"/>
  <c r="H342" i="84"/>
  <c r="F368" i="84"/>
  <c r="E438" i="84"/>
  <c r="G344" i="84"/>
  <c r="G219" i="84" s="1"/>
  <c r="G221" i="84" s="1"/>
  <c r="E173" i="84"/>
  <c r="E175" i="84" s="1"/>
  <c r="C27" i="21"/>
  <c r="C29" i="21" s="1"/>
  <c r="F143" i="84"/>
  <c r="D17" i="21"/>
  <c r="C164" i="29"/>
  <c r="D173" i="29"/>
  <c r="D128" i="29"/>
  <c r="D143" i="29"/>
  <c r="D158" i="29"/>
  <c r="D142" i="29" l="1"/>
  <c r="D127" i="29"/>
  <c r="D129" i="29" s="1"/>
  <c r="C19" i="21"/>
  <c r="D172" i="29"/>
  <c r="D174" i="29" s="1"/>
  <c r="D13" i="21"/>
  <c r="E172" i="29" s="1"/>
  <c r="F141" i="84"/>
  <c r="G39" i="61" s="1"/>
  <c r="G40" i="61" s="1"/>
  <c r="F144" i="84"/>
  <c r="D18" i="21"/>
  <c r="F437" i="84"/>
  <c r="G17" i="61"/>
  <c r="B25" i="69"/>
  <c r="B28" i="69" s="1"/>
  <c r="B32" i="69" s="1"/>
  <c r="B52" i="21"/>
  <c r="C42" i="21"/>
  <c r="D147" i="29"/>
  <c r="D148" i="29" s="1"/>
  <c r="D162" i="29"/>
  <c r="D163" i="29" s="1"/>
  <c r="D132" i="29"/>
  <c r="D133" i="29" s="1"/>
  <c r="D24" i="68"/>
  <c r="D177" i="29"/>
  <c r="D178" i="29" s="1"/>
  <c r="C9" i="69"/>
  <c r="F44" i="61"/>
  <c r="F55" i="61" s="1"/>
  <c r="D144" i="29"/>
  <c r="H345" i="84"/>
  <c r="E142" i="29"/>
  <c r="D159" i="29"/>
  <c r="F369" i="84"/>
  <c r="G359" i="84"/>
  <c r="D124" i="57"/>
  <c r="D125" i="57" s="1"/>
  <c r="D12" i="62"/>
  <c r="F216" i="84"/>
  <c r="G156" i="84"/>
  <c r="D6" i="68"/>
  <c r="F173" i="84"/>
  <c r="D27" i="21"/>
  <c r="D29" i="21" s="1"/>
  <c r="D134" i="29" l="1"/>
  <c r="F175" i="84"/>
  <c r="D149" i="29"/>
  <c r="C44" i="21"/>
  <c r="C49" i="21" s="1"/>
  <c r="E157" i="29"/>
  <c r="E127" i="29"/>
  <c r="D19" i="21"/>
  <c r="E6" i="68" s="1"/>
  <c r="F245" i="84"/>
  <c r="G137" i="84" s="1"/>
  <c r="D164" i="29"/>
  <c r="D179" i="29"/>
  <c r="G362" i="84"/>
  <c r="G361" i="84" s="1"/>
  <c r="G214" i="84" s="1"/>
  <c r="D9" i="69"/>
  <c r="H8" i="61"/>
  <c r="H12" i="61" s="1"/>
  <c r="G21" i="61"/>
  <c r="G42" i="61" s="1"/>
  <c r="D11" i="69" s="1"/>
  <c r="L24" i="68"/>
  <c r="H375" i="84"/>
  <c r="I374" i="84" s="1"/>
  <c r="H353" i="84"/>
  <c r="I352" i="84" s="1"/>
  <c r="I342" i="84"/>
  <c r="G143" i="84"/>
  <c r="E17" i="21"/>
  <c r="F438" i="84"/>
  <c r="G368" i="84"/>
  <c r="E162" i="29"/>
  <c r="E163" i="29" s="1"/>
  <c r="E147" i="29"/>
  <c r="E148" i="29" s="1"/>
  <c r="E24" i="68"/>
  <c r="E177" i="29"/>
  <c r="E178" i="29" s="1"/>
  <c r="D42" i="21"/>
  <c r="E132" i="29"/>
  <c r="E133" i="29" s="1"/>
  <c r="C68" i="29"/>
  <c r="C80" i="29"/>
  <c r="D22" i="29"/>
  <c r="C91" i="29"/>
  <c r="E19" i="62"/>
  <c r="C15" i="29"/>
  <c r="H344" i="84"/>
  <c r="H219" i="84" s="1"/>
  <c r="H221" i="84" s="1"/>
  <c r="F57" i="61"/>
  <c r="F56" i="61"/>
  <c r="C30" i="68"/>
  <c r="C41" i="29"/>
  <c r="B54" i="21"/>
  <c r="E143" i="29"/>
  <c r="E144" i="29" s="1"/>
  <c r="E128" i="29"/>
  <c r="E129" i="29" s="1"/>
  <c r="E158" i="29"/>
  <c r="E159" i="29" s="1"/>
  <c r="E164" i="29" s="1"/>
  <c r="E173" i="29"/>
  <c r="E174" i="29" s="1"/>
  <c r="H52" i="61"/>
  <c r="H54" i="61" s="1"/>
  <c r="E26" i="69" s="1"/>
  <c r="F12" i="68" s="1"/>
  <c r="G163" i="84"/>
  <c r="J9" i="69"/>
  <c r="E13" i="68"/>
  <c r="D13" i="68"/>
  <c r="E134" i="29" l="1"/>
  <c r="D44" i="21"/>
  <c r="D49" i="21" s="1"/>
  <c r="E149" i="29"/>
  <c r="G141" i="84"/>
  <c r="E13" i="21"/>
  <c r="F142" i="29" s="1"/>
  <c r="E179" i="29"/>
  <c r="G173" i="84"/>
  <c r="E27" i="21"/>
  <c r="E29" i="21" s="1"/>
  <c r="G369" i="84"/>
  <c r="H359" i="84"/>
  <c r="C52" i="21"/>
  <c r="C25" i="69"/>
  <c r="H156" i="84"/>
  <c r="G216" i="84"/>
  <c r="B87" i="22"/>
  <c r="B90" i="22" s="1"/>
  <c r="B91" i="22" s="1"/>
  <c r="B55" i="21" s="1"/>
  <c r="C31" i="68" s="1"/>
  <c r="C32" i="68" s="1"/>
  <c r="C7" i="68"/>
  <c r="E22" i="62"/>
  <c r="F19" i="62" s="1"/>
  <c r="B34" i="69"/>
  <c r="M24" i="68"/>
  <c r="F157" i="29"/>
  <c r="F172" i="29"/>
  <c r="G144" i="84"/>
  <c r="E18" i="21"/>
  <c r="E19" i="21" s="1"/>
  <c r="G437" i="84"/>
  <c r="H17" i="61"/>
  <c r="I345" i="84"/>
  <c r="I344" i="84" s="1"/>
  <c r="I219" i="84" s="1"/>
  <c r="I221" i="84" s="1"/>
  <c r="G44" i="61"/>
  <c r="G55" i="61" s="1"/>
  <c r="H39" i="61"/>
  <c r="H40" i="61" s="1"/>
  <c r="F127" i="29" l="1"/>
  <c r="G245" i="84"/>
  <c r="H137" i="84" s="1"/>
  <c r="G175" i="84"/>
  <c r="H21" i="61"/>
  <c r="H42" i="61" s="1"/>
  <c r="E11" i="69" s="1"/>
  <c r="I8" i="61"/>
  <c r="I12" i="61" s="1"/>
  <c r="F20" i="62"/>
  <c r="F21" i="62"/>
  <c r="D30" i="68"/>
  <c r="D41" i="29"/>
  <c r="C54" i="21"/>
  <c r="F6" i="68"/>
  <c r="H362" i="84"/>
  <c r="H361" i="84" s="1"/>
  <c r="H214" i="84" s="1"/>
  <c r="E9" i="69"/>
  <c r="G57" i="61"/>
  <c r="G56" i="61"/>
  <c r="H143" i="84"/>
  <c r="F17" i="21"/>
  <c r="E42" i="21"/>
  <c r="E44" i="21" s="1"/>
  <c r="E49" i="21" s="1"/>
  <c r="F162" i="29"/>
  <c r="F163" i="29" s="1"/>
  <c r="F147" i="29"/>
  <c r="F148" i="29" s="1"/>
  <c r="F177" i="29"/>
  <c r="F178" i="29" s="1"/>
  <c r="F24" i="68"/>
  <c r="F132" i="29"/>
  <c r="F133" i="29" s="1"/>
  <c r="F128" i="29"/>
  <c r="F158" i="29"/>
  <c r="F159" i="29" s="1"/>
  <c r="F173" i="29"/>
  <c r="F174" i="29" s="1"/>
  <c r="F143" i="29"/>
  <c r="F144" i="29" s="1"/>
  <c r="C34" i="69"/>
  <c r="B56" i="21"/>
  <c r="I52" i="61"/>
  <c r="I54" i="61" s="1"/>
  <c r="F26" i="69" s="1"/>
  <c r="G12" i="68" s="1"/>
  <c r="H163" i="84"/>
  <c r="H368" i="84"/>
  <c r="G438" i="84"/>
  <c r="I375" i="84"/>
  <c r="I353" i="84"/>
  <c r="D11" i="68"/>
  <c r="C28" i="69"/>
  <c r="C32" i="69" s="1"/>
  <c r="F129" i="29" l="1"/>
  <c r="F134" i="29" s="1"/>
  <c r="H44" i="61"/>
  <c r="H55" i="61" s="1"/>
  <c r="H57" i="61" s="1"/>
  <c r="H141" i="84"/>
  <c r="I39" i="61" s="1"/>
  <c r="I40" i="61" s="1"/>
  <c r="F13" i="21"/>
  <c r="G157" i="29" s="1"/>
  <c r="F179" i="29"/>
  <c r="F149" i="29"/>
  <c r="F164" i="29"/>
  <c r="H173" i="84"/>
  <c r="F27" i="21"/>
  <c r="F29" i="21" s="1"/>
  <c r="D34" i="69"/>
  <c r="G142" i="29"/>
  <c r="F13" i="68"/>
  <c r="D52" i="21"/>
  <c r="D25" i="69"/>
  <c r="H216" i="84"/>
  <c r="I156" i="84"/>
  <c r="N24" i="68"/>
  <c r="H437" i="84"/>
  <c r="F18" i="21"/>
  <c r="H144" i="84"/>
  <c r="I17" i="61"/>
  <c r="C37" i="29"/>
  <c r="C39" i="29" s="1"/>
  <c r="C42" i="29" s="1"/>
  <c r="C44" i="29" s="1"/>
  <c r="B57" i="21"/>
  <c r="D9" i="29"/>
  <c r="D14" i="29" s="1"/>
  <c r="D92" i="29"/>
  <c r="D95" i="29" s="1"/>
  <c r="D96" i="29" s="1"/>
  <c r="C77" i="29"/>
  <c r="C55" i="29"/>
  <c r="C60" i="29" s="1"/>
  <c r="C64" i="29" s="1"/>
  <c r="I359" i="84"/>
  <c r="H369" i="84"/>
  <c r="C87" i="22"/>
  <c r="C90" i="22" s="1"/>
  <c r="C91" i="22" s="1"/>
  <c r="C55" i="21" s="1"/>
  <c r="D31" i="68" s="1"/>
  <c r="D32" i="68" s="1"/>
  <c r="H175" i="84" l="1"/>
  <c r="H56" i="61"/>
  <c r="E25" i="69" s="1"/>
  <c r="G172" i="29"/>
  <c r="G127" i="29"/>
  <c r="H245" i="84"/>
  <c r="I137" i="84" s="1"/>
  <c r="E52" i="21"/>
  <c r="C56" i="21"/>
  <c r="C8" i="68"/>
  <c r="C14" i="68" s="1"/>
  <c r="C33" i="68" s="1"/>
  <c r="C35" i="68" s="1"/>
  <c r="B18" i="69"/>
  <c r="B39" i="69"/>
  <c r="G173" i="29"/>
  <c r="G143" i="29"/>
  <c r="G144" i="29" s="1"/>
  <c r="G158" i="29"/>
  <c r="G128" i="29"/>
  <c r="E30" i="68"/>
  <c r="E41" i="29"/>
  <c r="D54" i="21"/>
  <c r="I143" i="84"/>
  <c r="G17" i="21"/>
  <c r="F9" i="69"/>
  <c r="F42" i="21"/>
  <c r="G132" i="29"/>
  <c r="G133" i="29" s="1"/>
  <c r="G177" i="29"/>
  <c r="G178" i="29" s="1"/>
  <c r="G147" i="29"/>
  <c r="G148" i="29" s="1"/>
  <c r="G24" i="68"/>
  <c r="G162" i="29"/>
  <c r="G163" i="29" s="1"/>
  <c r="J52" i="61"/>
  <c r="J54" i="61" s="1"/>
  <c r="G26" i="69" s="1"/>
  <c r="H12" i="68" s="1"/>
  <c r="I163" i="84"/>
  <c r="I362" i="84"/>
  <c r="I369" i="84" s="1"/>
  <c r="I438" i="84" s="1"/>
  <c r="B58" i="21"/>
  <c r="I21" i="61"/>
  <c r="I42" i="61" s="1"/>
  <c r="F11" i="69" s="1"/>
  <c r="J8" i="61"/>
  <c r="J12" i="61" s="1"/>
  <c r="F19" i="21"/>
  <c r="I368" i="84"/>
  <c r="H438" i="84"/>
  <c r="D15" i="29"/>
  <c r="E11" i="68"/>
  <c r="D28" i="69"/>
  <c r="D32" i="69" s="1"/>
  <c r="G159" i="29"/>
  <c r="E34" i="69"/>
  <c r="G129" i="29" l="1"/>
  <c r="G149" i="29"/>
  <c r="G164" i="29"/>
  <c r="G174" i="29"/>
  <c r="G179" i="29" s="1"/>
  <c r="G13" i="21"/>
  <c r="H142" i="29" s="1"/>
  <c r="I141" i="84"/>
  <c r="I437" i="84"/>
  <c r="I144" i="84"/>
  <c r="G18" i="21"/>
  <c r="G19" i="21" s="1"/>
  <c r="J17" i="61"/>
  <c r="H127" i="29"/>
  <c r="B38" i="69"/>
  <c r="B40" i="69" s="1"/>
  <c r="C106" i="29"/>
  <c r="C110" i="29" s="1"/>
  <c r="C114" i="29" s="1"/>
  <c r="B59" i="21"/>
  <c r="J39" i="61"/>
  <c r="J40" i="61" s="1"/>
  <c r="I361" i="84"/>
  <c r="I214" i="84" s="1"/>
  <c r="G13" i="68"/>
  <c r="E92" i="29"/>
  <c r="E95" i="29" s="1"/>
  <c r="E96" i="29" s="1"/>
  <c r="D77" i="29"/>
  <c r="C57" i="21"/>
  <c r="C58" i="21" s="1"/>
  <c r="D37" i="29"/>
  <c r="D39" i="29" s="1"/>
  <c r="D42" i="29" s="1"/>
  <c r="D44" i="29" s="1"/>
  <c r="E9" i="29"/>
  <c r="E14" i="29" s="1"/>
  <c r="D55" i="29"/>
  <c r="D60" i="29" s="1"/>
  <c r="D64" i="29" s="1"/>
  <c r="J144" i="84"/>
  <c r="H18" i="21"/>
  <c r="K17" i="61"/>
  <c r="K21" i="61" s="1"/>
  <c r="K42" i="61" s="1"/>
  <c r="H11" i="69" s="1"/>
  <c r="D87" i="22"/>
  <c r="D90" i="22" s="1"/>
  <c r="D91" i="22" s="1"/>
  <c r="D55" i="21" s="1"/>
  <c r="E31" i="68" s="1"/>
  <c r="E32" i="68" s="1"/>
  <c r="F11" i="68"/>
  <c r="E28" i="69"/>
  <c r="E32" i="69" s="1"/>
  <c r="F44" i="21"/>
  <c r="F49" i="21" s="1"/>
  <c r="G6" i="68"/>
  <c r="I173" i="84"/>
  <c r="G27" i="21"/>
  <c r="G29" i="21" s="1"/>
  <c r="G134" i="29"/>
  <c r="B8" i="69"/>
  <c r="D34" i="68"/>
  <c r="F30" i="68"/>
  <c r="F41" i="29"/>
  <c r="E54" i="21"/>
  <c r="F34" i="69"/>
  <c r="I44" i="61"/>
  <c r="I55" i="61" s="1"/>
  <c r="H172" i="29" l="1"/>
  <c r="I175" i="84"/>
  <c r="H157" i="29"/>
  <c r="H6" i="68"/>
  <c r="H162" i="29"/>
  <c r="H163" i="29" s="1"/>
  <c r="G42" i="21"/>
  <c r="G44" i="21" s="1"/>
  <c r="G49" i="21" s="1"/>
  <c r="H24" i="68"/>
  <c r="H147" i="29"/>
  <c r="H148" i="29" s="1"/>
  <c r="H177" i="29"/>
  <c r="H178" i="29" s="1"/>
  <c r="H132" i="29"/>
  <c r="H133" i="29" s="1"/>
  <c r="G34" i="69"/>
  <c r="E15" i="29"/>
  <c r="C59" i="21"/>
  <c r="K8" i="61"/>
  <c r="K12" i="61" s="1"/>
  <c r="J21" i="61"/>
  <c r="J42" i="61" s="1"/>
  <c r="G11" i="69" s="1"/>
  <c r="D106" i="29"/>
  <c r="D110" i="29" s="1"/>
  <c r="D114" i="29" s="1"/>
  <c r="C38" i="69"/>
  <c r="I216" i="84"/>
  <c r="J156" i="84"/>
  <c r="H173" i="29"/>
  <c r="H128" i="29"/>
  <c r="H129" i="29" s="1"/>
  <c r="H158" i="29"/>
  <c r="H143" i="29"/>
  <c r="H144" i="29" s="1"/>
  <c r="C36" i="68"/>
  <c r="C37" i="68" s="1"/>
  <c r="B12" i="69"/>
  <c r="B21" i="69" s="1"/>
  <c r="I57" i="61"/>
  <c r="I56" i="61"/>
  <c r="D56" i="21"/>
  <c r="G9" i="69"/>
  <c r="C37" i="69"/>
  <c r="B42" i="69"/>
  <c r="B44" i="69" s="1"/>
  <c r="E87" i="22"/>
  <c r="E90" i="22" s="1"/>
  <c r="E91" i="22" s="1"/>
  <c r="E55" i="21" s="1"/>
  <c r="F31" i="68" s="1"/>
  <c r="F32" i="68" s="1"/>
  <c r="O24" i="68"/>
  <c r="D8" i="68"/>
  <c r="D14" i="68" s="1"/>
  <c r="D33" i="68" s="1"/>
  <c r="D35" i="68" s="1"/>
  <c r="C18" i="69"/>
  <c r="C39" i="69"/>
  <c r="H17" i="21"/>
  <c r="I173" i="29" s="1"/>
  <c r="J143" i="84"/>
  <c r="H174" i="29" l="1"/>
  <c r="H179" i="29" s="1"/>
  <c r="H149" i="29"/>
  <c r="H134" i="29"/>
  <c r="J44" i="61"/>
  <c r="J55" i="61" s="1"/>
  <c r="J56" i="61" s="1"/>
  <c r="H159" i="29"/>
  <c r="H164" i="29" s="1"/>
  <c r="I245" i="84"/>
  <c r="J137" i="84" s="1"/>
  <c r="B47" i="69"/>
  <c r="C8" i="69"/>
  <c r="E34" i="68"/>
  <c r="E56" i="21"/>
  <c r="E37" i="29"/>
  <c r="E39" i="29" s="1"/>
  <c r="E42" i="29" s="1"/>
  <c r="E44" i="29" s="1"/>
  <c r="F92" i="29"/>
  <c r="F95" i="29" s="1"/>
  <c r="F96" i="29" s="1"/>
  <c r="E77" i="29"/>
  <c r="D57" i="21"/>
  <c r="D58" i="21" s="1"/>
  <c r="D59" i="21" s="1"/>
  <c r="E55" i="29"/>
  <c r="E60" i="29" s="1"/>
  <c r="E64" i="29" s="1"/>
  <c r="F9" i="29"/>
  <c r="F14" i="29" s="1"/>
  <c r="K52" i="61"/>
  <c r="K54" i="61" s="1"/>
  <c r="H26" i="69" s="1"/>
  <c r="I12" i="68" s="1"/>
  <c r="J163" i="84"/>
  <c r="I158" i="29"/>
  <c r="H34" i="69"/>
  <c r="I143" i="29"/>
  <c r="H13" i="68"/>
  <c r="F52" i="21"/>
  <c r="F25" i="69"/>
  <c r="I128" i="29"/>
  <c r="P24" i="68"/>
  <c r="C40" i="69"/>
  <c r="J57" i="61" l="1"/>
  <c r="H13" i="21"/>
  <c r="I172" i="29" s="1"/>
  <c r="I174" i="29" s="1"/>
  <c r="J141" i="84"/>
  <c r="K39" i="61" s="1"/>
  <c r="K40" i="61" s="1"/>
  <c r="F15" i="29"/>
  <c r="E106" i="29"/>
  <c r="E110" i="29" s="1"/>
  <c r="E114" i="29" s="1"/>
  <c r="D38" i="69"/>
  <c r="D37" i="69"/>
  <c r="C42" i="69"/>
  <c r="C44" i="69" s="1"/>
  <c r="G11" i="68"/>
  <c r="F28" i="69"/>
  <c r="F32" i="69" s="1"/>
  <c r="G52" i="21"/>
  <c r="G25" i="69"/>
  <c r="H27" i="21"/>
  <c r="H29" i="21" s="1"/>
  <c r="J173" i="84"/>
  <c r="D36" i="68"/>
  <c r="D37" i="68" s="1"/>
  <c r="C12" i="69"/>
  <c r="C21" i="69" s="1"/>
  <c r="G30" i="68"/>
  <c r="G41" i="29"/>
  <c r="F54" i="21"/>
  <c r="D18" i="69"/>
  <c r="E8" i="68"/>
  <c r="E14" i="68" s="1"/>
  <c r="E33" i="68" s="1"/>
  <c r="E35" i="68" s="1"/>
  <c r="D39" i="69"/>
  <c r="F77" i="29"/>
  <c r="F37" i="29"/>
  <c r="F39" i="29" s="1"/>
  <c r="F42" i="29" s="1"/>
  <c r="F44" i="29" s="1"/>
  <c r="E57" i="21"/>
  <c r="E58" i="21" s="1"/>
  <c r="E59" i="21" s="1"/>
  <c r="F55" i="29"/>
  <c r="F60" i="29" s="1"/>
  <c r="F64" i="29" s="1"/>
  <c r="G9" i="29"/>
  <c r="G14" i="29" s="1"/>
  <c r="G92" i="29"/>
  <c r="G95" i="29" s="1"/>
  <c r="G96" i="29" s="1"/>
  <c r="I142" i="29" l="1"/>
  <c r="I144" i="29" s="1"/>
  <c r="J175" i="84"/>
  <c r="H19" i="21"/>
  <c r="I6" i="68" s="1"/>
  <c r="I127" i="29"/>
  <c r="I129" i="29" s="1"/>
  <c r="I157" i="29"/>
  <c r="I159" i="29" s="1"/>
  <c r="C47" i="69"/>
  <c r="E39" i="69"/>
  <c r="F8" i="68"/>
  <c r="F14" i="68" s="1"/>
  <c r="F33" i="68" s="1"/>
  <c r="E18" i="69"/>
  <c r="F34" i="68"/>
  <c r="D8" i="69"/>
  <c r="D40" i="69"/>
  <c r="F106" i="29"/>
  <c r="F110" i="29" s="1"/>
  <c r="F114" i="29" s="1"/>
  <c r="E38" i="69"/>
  <c r="H11" i="68"/>
  <c r="G28" i="69"/>
  <c r="G32" i="69" s="1"/>
  <c r="G15" i="29"/>
  <c r="H30" i="68"/>
  <c r="H41" i="29"/>
  <c r="G54" i="21"/>
  <c r="H9" i="69"/>
  <c r="I13" i="68" s="1"/>
  <c r="K44" i="61"/>
  <c r="K55" i="61" s="1"/>
  <c r="F87" i="22"/>
  <c r="F90" i="22" s="1"/>
  <c r="F91" i="22" s="1"/>
  <c r="F55" i="21" s="1"/>
  <c r="G31" i="68" s="1"/>
  <c r="G32" i="68" s="1"/>
  <c r="I177" i="29"/>
  <c r="I178" i="29" s="1"/>
  <c r="I179" i="29" s="1"/>
  <c r="H42" i="21"/>
  <c r="I162" i="29"/>
  <c r="I163" i="29" s="1"/>
  <c r="I24" i="68"/>
  <c r="I147" i="29"/>
  <c r="I148" i="29" s="1"/>
  <c r="I149" i="29" s="1"/>
  <c r="I132" i="29"/>
  <c r="I133" i="29" s="1"/>
  <c r="I134" i="29" l="1"/>
  <c r="I164" i="29"/>
  <c r="H44" i="21"/>
  <c r="H49" i="21" s="1"/>
  <c r="F56" i="21"/>
  <c r="G77" i="29" s="1"/>
  <c r="Q24" i="68"/>
  <c r="E36" i="68"/>
  <c r="E37" i="68" s="1"/>
  <c r="D12" i="69"/>
  <c r="D21" i="69" s="1"/>
  <c r="G87" i="22"/>
  <c r="G90" i="22" s="1"/>
  <c r="G91" i="22" s="1"/>
  <c r="G55" i="21" s="1"/>
  <c r="H31" i="68" s="1"/>
  <c r="H32" i="68" s="1"/>
  <c r="E37" i="69"/>
  <c r="E40" i="69" s="1"/>
  <c r="D42" i="69"/>
  <c r="D44" i="69" s="1"/>
  <c r="K57" i="61"/>
  <c r="K56" i="61"/>
  <c r="F35" i="68"/>
  <c r="H92" i="29" l="1"/>
  <c r="H95" i="29" s="1"/>
  <c r="H96" i="29" s="1"/>
  <c r="H9" i="29"/>
  <c r="H14" i="29" s="1"/>
  <c r="H15" i="29" s="1"/>
  <c r="G55" i="29"/>
  <c r="G60" i="29" s="1"/>
  <c r="G64" i="29" s="1"/>
  <c r="F57" i="21"/>
  <c r="F58" i="21" s="1"/>
  <c r="F59" i="21" s="1"/>
  <c r="G37" i="29"/>
  <c r="G39" i="29" s="1"/>
  <c r="G42" i="29" s="1"/>
  <c r="G44" i="29" s="1"/>
  <c r="G56" i="21"/>
  <c r="H77" i="29" s="1"/>
  <c r="D47" i="69"/>
  <c r="F37" i="69"/>
  <c r="E42" i="69"/>
  <c r="E44" i="69" s="1"/>
  <c r="G34" i="68"/>
  <c r="E8" i="69"/>
  <c r="H52" i="21"/>
  <c r="H25" i="69"/>
  <c r="I9" i="29"/>
  <c r="I14" i="29" s="1"/>
  <c r="D98" i="29" l="1"/>
  <c r="D32" i="62" s="1"/>
  <c r="G106" i="29"/>
  <c r="G110" i="29" s="1"/>
  <c r="G114" i="29" s="1"/>
  <c r="C116" i="29" s="1"/>
  <c r="D33" i="62" s="1"/>
  <c r="F38" i="69"/>
  <c r="F39" i="69"/>
  <c r="F18" i="69"/>
  <c r="G57" i="21"/>
  <c r="G58" i="21" s="1"/>
  <c r="H37" i="29"/>
  <c r="H39" i="29" s="1"/>
  <c r="H42" i="29" s="1"/>
  <c r="H44" i="29" s="1"/>
  <c r="H55" i="29"/>
  <c r="H60" i="29" s="1"/>
  <c r="H64" i="29" s="1"/>
  <c r="I92" i="29"/>
  <c r="I95" i="29" s="1"/>
  <c r="G8" i="68"/>
  <c r="G14" i="68" s="1"/>
  <c r="G33" i="68" s="1"/>
  <c r="G35" i="68" s="1"/>
  <c r="F8" i="69" s="1"/>
  <c r="F36" i="68"/>
  <c r="F37" i="68" s="1"/>
  <c r="E12" i="69"/>
  <c r="E21" i="69" s="1"/>
  <c r="E47" i="69" s="1"/>
  <c r="I15" i="29"/>
  <c r="I30" i="68"/>
  <c r="I41" i="29"/>
  <c r="H54" i="21"/>
  <c r="I11" i="68"/>
  <c r="H28" i="69"/>
  <c r="H32" i="69" s="1"/>
  <c r="F40" i="69" l="1"/>
  <c r="G18" i="69"/>
  <c r="G39" i="69"/>
  <c r="H8" i="68"/>
  <c r="H14" i="68" s="1"/>
  <c r="H33" i="68" s="1"/>
  <c r="H34" i="68"/>
  <c r="H106" i="29"/>
  <c r="H110" i="29" s="1"/>
  <c r="G38" i="69"/>
  <c r="G59" i="21"/>
  <c r="H87" i="22"/>
  <c r="H90" i="22" s="1"/>
  <c r="H91" i="22" s="1"/>
  <c r="H55" i="21" s="1"/>
  <c r="I31" i="68" s="1"/>
  <c r="I32" i="68" s="1"/>
  <c r="G36" i="68"/>
  <c r="G37" i="68" s="1"/>
  <c r="F12" i="69"/>
  <c r="F21" i="69" s="1"/>
  <c r="G37" i="69"/>
  <c r="F42" i="69"/>
  <c r="F44" i="69" s="1"/>
  <c r="H35" i="68" l="1"/>
  <c r="G8" i="69" s="1"/>
  <c r="H36" i="68" s="1"/>
  <c r="H37" i="68" s="1"/>
  <c r="G40" i="69"/>
  <c r="H37" i="69" s="1"/>
  <c r="F47" i="69"/>
  <c r="H56" i="21"/>
  <c r="G12" i="69" l="1"/>
  <c r="G21" i="69" s="1"/>
  <c r="I34" i="68"/>
  <c r="G42" i="69"/>
  <c r="G44" i="69" s="1"/>
  <c r="I77" i="29"/>
  <c r="C79" i="29" s="1"/>
  <c r="C82" i="29" s="1"/>
  <c r="D29" i="62" s="1"/>
  <c r="I55" i="29"/>
  <c r="I60" i="29" s="1"/>
  <c r="I64" i="29" s="1"/>
  <c r="C66" i="29" s="1"/>
  <c r="C70" i="29" s="1"/>
  <c r="D31" i="62" s="1"/>
  <c r="J92" i="29"/>
  <c r="J95" i="29" s="1"/>
  <c r="H57" i="21"/>
  <c r="J9" i="29"/>
  <c r="J14" i="29" s="1"/>
  <c r="I37" i="29"/>
  <c r="I39" i="29" s="1"/>
  <c r="I42" i="29" s="1"/>
  <c r="I44" i="29" s="1"/>
  <c r="C46" i="29" s="1"/>
  <c r="D28" i="62" s="1"/>
  <c r="G47" i="69" l="1"/>
  <c r="H18" i="69"/>
  <c r="I8" i="68"/>
  <c r="I14" i="68" s="1"/>
  <c r="I33" i="68" s="1"/>
  <c r="I35" i="68" s="1"/>
  <c r="H39" i="69"/>
  <c r="H58" i="21"/>
  <c r="J15" i="29"/>
  <c r="C16" i="29" s="1"/>
  <c r="I106" i="29" l="1"/>
  <c r="I110" i="29" s="1"/>
  <c r="H38" i="69"/>
  <c r="H40" i="69" s="1"/>
  <c r="H42" i="69" s="1"/>
  <c r="H44" i="69" s="1"/>
  <c r="H59" i="21"/>
  <c r="H8" i="69"/>
  <c r="D30" i="62"/>
  <c r="D18" i="29"/>
  <c r="E18" i="29" l="1"/>
  <c r="D19" i="29"/>
  <c r="I36" i="68"/>
  <c r="I37" i="68" s="1"/>
  <c r="H12" i="69"/>
  <c r="H21" i="69" s="1"/>
  <c r="H47" i="69" s="1"/>
  <c r="F18" i="29" l="1"/>
  <c r="E19" i="29"/>
  <c r="G18" i="29" l="1"/>
  <c r="F19" i="29"/>
  <c r="H18" i="29" l="1"/>
  <c r="G19" i="29"/>
  <c r="I18" i="29" l="1"/>
  <c r="H19" i="29"/>
  <c r="J18" i="29" l="1"/>
  <c r="J19" i="29" s="1"/>
  <c r="I19" i="29"/>
  <c r="D20" i="29" l="1"/>
  <c r="F23" i="29" s="1"/>
</calcChain>
</file>

<file path=xl/sharedStrings.xml><?xml version="1.0" encoding="utf-8"?>
<sst xmlns="http://schemas.openxmlformats.org/spreadsheetml/2006/main" count="2150" uniqueCount="988">
  <si>
    <t>Particulars</t>
  </si>
  <si>
    <t>Total</t>
  </si>
  <si>
    <t>Y1</t>
  </si>
  <si>
    <t>Y2</t>
  </si>
  <si>
    <t>Y3</t>
  </si>
  <si>
    <t>Y4</t>
  </si>
  <si>
    <t>Y5</t>
  </si>
  <si>
    <t>Operating Profit</t>
  </si>
  <si>
    <t>Total Receipts</t>
  </si>
  <si>
    <t>Admin Expenses</t>
  </si>
  <si>
    <t>Year 1</t>
  </si>
  <si>
    <t>Year 2</t>
  </si>
  <si>
    <t>Year 3</t>
  </si>
  <si>
    <t>Year 4</t>
  </si>
  <si>
    <t>Year 5</t>
  </si>
  <si>
    <t>Year 6</t>
  </si>
  <si>
    <t>Depreciation</t>
  </si>
  <si>
    <t>Particluars</t>
  </si>
  <si>
    <t>Opening Balance</t>
  </si>
  <si>
    <t xml:space="preserve">Interest </t>
  </si>
  <si>
    <t>Pricipal Repayment</t>
  </si>
  <si>
    <t>EMI</t>
  </si>
  <si>
    <t>Closing Outstanding</t>
  </si>
  <si>
    <t>Interest on Term loan</t>
  </si>
  <si>
    <t>Profit Before Tax</t>
  </si>
  <si>
    <t>Less. Tax</t>
  </si>
  <si>
    <t>Net Profit</t>
  </si>
  <si>
    <t>Profit After Tax</t>
  </si>
  <si>
    <t xml:space="preserve">Particular </t>
  </si>
  <si>
    <t>Profit after Tax &amp; Diivdend</t>
  </si>
  <si>
    <r>
      <t>Add</t>
    </r>
    <r>
      <rPr>
        <sz val="11"/>
        <color indexed="8"/>
        <rFont val="Times New Roman"/>
        <family val="1"/>
      </rPr>
      <t>: Deprication</t>
    </r>
  </si>
  <si>
    <t xml:space="preserve">Net Cash Accrual (A)      </t>
  </si>
  <si>
    <t>Presnt Value of Future Inflows</t>
  </si>
  <si>
    <t>Operating Net Cash Inflow</t>
  </si>
  <si>
    <t>Present Capital Outflow</t>
  </si>
  <si>
    <t>Add: Preliminary expense written off</t>
  </si>
  <si>
    <t>Contribution</t>
  </si>
  <si>
    <t>BEP</t>
  </si>
  <si>
    <t>Total Fixed exp</t>
  </si>
  <si>
    <t>Add: Deprication</t>
  </si>
  <si>
    <t>PV Factor @ 10 %</t>
  </si>
  <si>
    <t>Disc Cash Flow</t>
  </si>
  <si>
    <t>Total Discounted Cash Flows</t>
  </si>
  <si>
    <t>Present Value of Outflow</t>
  </si>
  <si>
    <t>NPV</t>
  </si>
  <si>
    <t>Add. Preliminary exp Written off</t>
  </si>
  <si>
    <t>ASSETS</t>
  </si>
  <si>
    <t>Current Assets</t>
  </si>
  <si>
    <t>1. Inflation is assumed to be 5% anually.</t>
  </si>
  <si>
    <t>Month 1</t>
  </si>
  <si>
    <t>Month 2</t>
  </si>
  <si>
    <t>Month 3</t>
  </si>
  <si>
    <t>Month 4</t>
  </si>
  <si>
    <t>Month 5</t>
  </si>
  <si>
    <t>Month 6</t>
  </si>
  <si>
    <t>Month 7</t>
  </si>
  <si>
    <t>Month 8</t>
  </si>
  <si>
    <t>Month 9</t>
  </si>
  <si>
    <t>Month 10</t>
  </si>
  <si>
    <t>Month 11</t>
  </si>
  <si>
    <t>Month 12</t>
  </si>
  <si>
    <t>Month 13</t>
  </si>
  <si>
    <t>Month 14</t>
  </si>
  <si>
    <t>Month 15</t>
  </si>
  <si>
    <t>Month 16</t>
  </si>
  <si>
    <t>Month 17</t>
  </si>
  <si>
    <t>Month 18</t>
  </si>
  <si>
    <t>Month 19</t>
  </si>
  <si>
    <t>Month 20</t>
  </si>
  <si>
    <t>Month 21</t>
  </si>
  <si>
    <t>Month 22</t>
  </si>
  <si>
    <t>Month 23</t>
  </si>
  <si>
    <t>Month 24</t>
  </si>
  <si>
    <t>Month 25</t>
  </si>
  <si>
    <t>Month 26</t>
  </si>
  <si>
    <t>Month 27</t>
  </si>
  <si>
    <t>Month 28</t>
  </si>
  <si>
    <t>Month 29</t>
  </si>
  <si>
    <t>Month 30</t>
  </si>
  <si>
    <t>Month 31</t>
  </si>
  <si>
    <t>Month 32</t>
  </si>
  <si>
    <t>Month 33</t>
  </si>
  <si>
    <t>Month 34</t>
  </si>
  <si>
    <t>Month 35</t>
  </si>
  <si>
    <t>Month 36</t>
  </si>
  <si>
    <t>Month 37</t>
  </si>
  <si>
    <t>Month 38</t>
  </si>
  <si>
    <t>Month 39</t>
  </si>
  <si>
    <t>Month 40</t>
  </si>
  <si>
    <t>Month 41</t>
  </si>
  <si>
    <t>Month 42</t>
  </si>
  <si>
    <t>Month 43</t>
  </si>
  <si>
    <t>Month 44</t>
  </si>
  <si>
    <t>Month 45</t>
  </si>
  <si>
    <t>Month 46</t>
  </si>
  <si>
    <t>Month 47</t>
  </si>
  <si>
    <t>Month 48</t>
  </si>
  <si>
    <t>Month 49</t>
  </si>
  <si>
    <t>Month 50</t>
  </si>
  <si>
    <t>Month 51</t>
  </si>
  <si>
    <t>Month 52</t>
  </si>
  <si>
    <t>Month 53</t>
  </si>
  <si>
    <t>Month 54</t>
  </si>
  <si>
    <t>Month 55</t>
  </si>
  <si>
    <t>Month 56</t>
  </si>
  <si>
    <t>Month 57</t>
  </si>
  <si>
    <t>Month 58</t>
  </si>
  <si>
    <t>Month 59</t>
  </si>
  <si>
    <t>Month 60</t>
  </si>
  <si>
    <t>Month 61</t>
  </si>
  <si>
    <t>Month 62</t>
  </si>
  <si>
    <t>Month 63</t>
  </si>
  <si>
    <t>Month 64</t>
  </si>
  <si>
    <t>Month 65</t>
  </si>
  <si>
    <t>Month 66</t>
  </si>
  <si>
    <t>Month 67</t>
  </si>
  <si>
    <t>Month 68</t>
  </si>
  <si>
    <t>Month 69</t>
  </si>
  <si>
    <t>Month 70</t>
  </si>
  <si>
    <t>Month 71</t>
  </si>
  <si>
    <t>Month 72</t>
  </si>
  <si>
    <t>Average net profit</t>
  </si>
  <si>
    <t>Total Project cost</t>
  </si>
  <si>
    <t>ROI</t>
  </si>
  <si>
    <t>Revenue</t>
  </si>
  <si>
    <t>Particular</t>
  </si>
  <si>
    <t>Opperating profit</t>
  </si>
  <si>
    <t>Total Expenses</t>
  </si>
  <si>
    <t>Unit</t>
  </si>
  <si>
    <t>Average BEP</t>
  </si>
  <si>
    <t>Own Contribution</t>
  </si>
  <si>
    <t>Operating cost</t>
  </si>
  <si>
    <t>Profit Before Depreciation ,Interest and Tax</t>
  </si>
  <si>
    <t>Amortization</t>
  </si>
  <si>
    <t>Profit Before Interest and Tax</t>
  </si>
  <si>
    <t>Output</t>
  </si>
  <si>
    <t>Dal Mill</t>
  </si>
  <si>
    <t>Expenses</t>
  </si>
  <si>
    <t>Total Revenue</t>
  </si>
  <si>
    <t>Electricity Charges</t>
  </si>
  <si>
    <t>Sr. No.</t>
  </si>
  <si>
    <t>No. of Unit</t>
  </si>
  <si>
    <t>Rate per unit</t>
  </si>
  <si>
    <t>Land</t>
  </si>
  <si>
    <t>Sq. ft.</t>
  </si>
  <si>
    <t>Lease</t>
  </si>
  <si>
    <t>Description</t>
  </si>
  <si>
    <t>No. Required</t>
  </si>
  <si>
    <t>Rate</t>
  </si>
  <si>
    <t>Total HP</t>
  </si>
  <si>
    <t>Land and Building</t>
  </si>
  <si>
    <t>Machinery and Equipment</t>
  </si>
  <si>
    <t>Working Capital</t>
  </si>
  <si>
    <t>Bank Finance - Long Term Loan</t>
  </si>
  <si>
    <t>Amount (Rs.)</t>
  </si>
  <si>
    <t>Vehical</t>
  </si>
  <si>
    <t>Capacity</t>
  </si>
  <si>
    <t>No. of Hours</t>
  </si>
  <si>
    <t>Bengal Gram</t>
  </si>
  <si>
    <t>Red Gram</t>
  </si>
  <si>
    <t>Job Work (50%)</t>
  </si>
  <si>
    <t>Quantity for sale (50%)</t>
  </si>
  <si>
    <t>Y7</t>
  </si>
  <si>
    <t>Y6</t>
  </si>
  <si>
    <t>No. of Operation Days</t>
  </si>
  <si>
    <t>Subtotal</t>
  </si>
  <si>
    <t>Transportation Cost</t>
  </si>
  <si>
    <t>A</t>
  </si>
  <si>
    <t>B</t>
  </si>
  <si>
    <t>C</t>
  </si>
  <si>
    <t>D</t>
  </si>
  <si>
    <t>Vegetable</t>
  </si>
  <si>
    <t>Kharif Crops</t>
  </si>
  <si>
    <t>Urea</t>
  </si>
  <si>
    <t>Pesticide</t>
  </si>
  <si>
    <t>DAP</t>
  </si>
  <si>
    <t>Rabi Crop</t>
  </si>
  <si>
    <t>Requirement of Input material</t>
  </si>
  <si>
    <t>Seeds</t>
  </si>
  <si>
    <t>Fertilizers</t>
  </si>
  <si>
    <t>Dupont Coragen</t>
  </si>
  <si>
    <t>Confidor Boyer</t>
  </si>
  <si>
    <t>Machine Operator</t>
  </si>
  <si>
    <t>Accountant</t>
  </si>
  <si>
    <t>Support Staff</t>
  </si>
  <si>
    <t>As per companies Act</t>
  </si>
  <si>
    <t>As per IT Act</t>
  </si>
  <si>
    <t>Assets</t>
  </si>
  <si>
    <t>Asset Value</t>
  </si>
  <si>
    <t>Accumulated Depreciation</t>
  </si>
  <si>
    <t>Net Fixed Assets</t>
  </si>
  <si>
    <t>Building</t>
  </si>
  <si>
    <t>Plant and Machinary</t>
  </si>
  <si>
    <t>Furniture and Electrification</t>
  </si>
  <si>
    <t>Gross Fixed Asset</t>
  </si>
  <si>
    <t xml:space="preserve">Total Depreciation </t>
  </si>
  <si>
    <t>Accumalated Depreciation</t>
  </si>
  <si>
    <t>Amortization: Straight Line Method (SLM) is used</t>
  </si>
  <si>
    <t>Companies Act</t>
  </si>
  <si>
    <t>IT Act</t>
  </si>
  <si>
    <t>Depreciation: Straight Line Method (SLM) is used</t>
  </si>
  <si>
    <t>SLM</t>
  </si>
  <si>
    <t>WDV</t>
  </si>
  <si>
    <t>IT and Infrastructure</t>
  </si>
  <si>
    <t>Plant and machinery</t>
  </si>
  <si>
    <t>Pre-operative or pre-incubation</t>
  </si>
  <si>
    <t>Month 73</t>
  </si>
  <si>
    <t>Month 74</t>
  </si>
  <si>
    <t>Month 75</t>
  </si>
  <si>
    <t>Month 76</t>
  </si>
  <si>
    <t>Month 77</t>
  </si>
  <si>
    <t>Month 78</t>
  </si>
  <si>
    <t>Month 79</t>
  </si>
  <si>
    <t>Month 80</t>
  </si>
  <si>
    <t>Month 81</t>
  </si>
  <si>
    <t>Month 82</t>
  </si>
  <si>
    <t>Month 83</t>
  </si>
  <si>
    <t>Month 84</t>
  </si>
  <si>
    <t>EBT</t>
  </si>
  <si>
    <t>Add Depreciation as per companies Act</t>
  </si>
  <si>
    <t>Less Depreciation as per IT Act</t>
  </si>
  <si>
    <t>Provision of Taxes</t>
  </si>
  <si>
    <t xml:space="preserve">Sr. </t>
  </si>
  <si>
    <t>Equity/ Share capital</t>
  </si>
  <si>
    <t>Long Term Loan</t>
  </si>
  <si>
    <t>Short Term Loan</t>
  </si>
  <si>
    <t>Sub Total (A)</t>
  </si>
  <si>
    <t>Cash Outflow (Rs.)</t>
  </si>
  <si>
    <t>Capital Expenditure</t>
  </si>
  <si>
    <t>a</t>
  </si>
  <si>
    <t>b</t>
  </si>
  <si>
    <t>Operational Expenditure</t>
  </si>
  <si>
    <t>LTL - Principal</t>
  </si>
  <si>
    <t>LTL - Interest</t>
  </si>
  <si>
    <t>STL - Principal</t>
  </si>
  <si>
    <t>STL - Interest</t>
  </si>
  <si>
    <t>Tax</t>
  </si>
  <si>
    <t>Sub Total (B)</t>
  </si>
  <si>
    <t>Net Cash Flow (A-B)</t>
  </si>
  <si>
    <t>Opening Cash and Bank</t>
  </si>
  <si>
    <t>Cumulative Cash Balance</t>
  </si>
  <si>
    <t>Cash and Bank Balance</t>
  </si>
  <si>
    <t>Accounts Receivables</t>
  </si>
  <si>
    <t>Total Current Assets</t>
  </si>
  <si>
    <t>Gross Fixed Assets</t>
  </si>
  <si>
    <t>Less: Depriciation</t>
  </si>
  <si>
    <t>Preliminary Expenses</t>
  </si>
  <si>
    <t>TOTAL ASSETS</t>
  </si>
  <si>
    <t>LIABILITIES &amp; SHAREHOLDERS EQUITY</t>
  </si>
  <si>
    <t>CURRENT LIABILITIES</t>
  </si>
  <si>
    <t>Short Term Debt (Working capital loan)</t>
  </si>
  <si>
    <t>Accounts Payable &amp; Accrued Expenses</t>
  </si>
  <si>
    <t>Other Current Liabilities</t>
  </si>
  <si>
    <t>Total Curent Liabilities</t>
  </si>
  <si>
    <t xml:space="preserve">Secured Long Term Debt </t>
  </si>
  <si>
    <t>Differed Tax Liabilities</t>
  </si>
  <si>
    <t>TOTAL LIABILITIES</t>
  </si>
  <si>
    <t>Share capital</t>
  </si>
  <si>
    <t>Reserves and Surplus</t>
  </si>
  <si>
    <t>Add: Opening Balance (P/L Account)</t>
  </si>
  <si>
    <t>Profit &amp; Loss) During the Year</t>
  </si>
  <si>
    <t>Total Reserves</t>
  </si>
  <si>
    <t xml:space="preserve">TOTAL EQUITY </t>
  </si>
  <si>
    <t>TOTAL LIABILITIES &amp; EQUITY</t>
  </si>
  <si>
    <t>CONTROL TICKER</t>
  </si>
  <si>
    <t>(=Liability - Asset)</t>
  </si>
  <si>
    <t>c</t>
  </si>
  <si>
    <t>Vehicle</t>
  </si>
  <si>
    <t>d</t>
  </si>
  <si>
    <t>Premilinary Expenses</t>
  </si>
  <si>
    <t>Year 7</t>
  </si>
  <si>
    <t>IRR</t>
  </si>
  <si>
    <t>Initial Investment</t>
  </si>
  <si>
    <t>Cashflow - Initial Investment</t>
  </si>
  <si>
    <t>Payback period (in years) - Project</t>
  </si>
  <si>
    <t>Total Annual EMI</t>
  </si>
  <si>
    <t>Output (KG)</t>
  </si>
  <si>
    <t>Seeds (Rate/KG)</t>
  </si>
  <si>
    <t>Fertilizer(Rate/KG)</t>
  </si>
  <si>
    <t>Taxable Income</t>
  </si>
  <si>
    <t>Year</t>
  </si>
  <si>
    <t>Loading &amp; Unloading</t>
  </si>
  <si>
    <t>Dal Mill Unit</t>
  </si>
  <si>
    <t>Job Work Charges</t>
  </si>
  <si>
    <t>Loading/Unloading Charges</t>
  </si>
  <si>
    <t>packaging Exp</t>
  </si>
  <si>
    <t>Transportation Charges</t>
  </si>
  <si>
    <t>Total expenses</t>
  </si>
  <si>
    <t>MT</t>
  </si>
  <si>
    <t>Warehouse</t>
  </si>
  <si>
    <t>No.of Month</t>
  </si>
  <si>
    <t>Capacity Utilisation</t>
  </si>
  <si>
    <t>Dunnage</t>
  </si>
  <si>
    <t>Fumigation</t>
  </si>
  <si>
    <t>Eletricity</t>
  </si>
  <si>
    <t>Total Hours in a year</t>
  </si>
  <si>
    <t>Variable Expenses</t>
  </si>
  <si>
    <t>Diesel</t>
  </si>
  <si>
    <t>Daily Labour</t>
  </si>
  <si>
    <t>Fixed Cost</t>
  </si>
  <si>
    <t>Driver</t>
  </si>
  <si>
    <t>Variable Cost</t>
  </si>
  <si>
    <t>Daily Lobour</t>
  </si>
  <si>
    <t>Operating Income</t>
  </si>
  <si>
    <t>Operaing Income</t>
  </si>
  <si>
    <t>Black Gram</t>
  </si>
  <si>
    <t>Green Gram</t>
  </si>
  <si>
    <t xml:space="preserve">Daily Labour </t>
  </si>
  <si>
    <t>Total Variable Cost</t>
  </si>
  <si>
    <t>Total Quantity Stored per Annum</t>
  </si>
  <si>
    <t>Warehouse Manager</t>
  </si>
  <si>
    <t>Storage Charges per MT per Month</t>
  </si>
  <si>
    <t>Total Fixed Cost</t>
  </si>
  <si>
    <t>Rent</t>
  </si>
  <si>
    <t>Agri Input Center Manager</t>
  </si>
  <si>
    <t>Electricty Charges</t>
  </si>
  <si>
    <t>Total Cost</t>
  </si>
  <si>
    <t>IT Infrastracture</t>
  </si>
  <si>
    <t>Furniture &amp; Fixture</t>
  </si>
  <si>
    <t xml:space="preserve">Govt. Grant under SMART Project </t>
  </si>
  <si>
    <t>It Infrastructure</t>
  </si>
  <si>
    <t>e</t>
  </si>
  <si>
    <t>f</t>
  </si>
  <si>
    <t>Y0</t>
  </si>
  <si>
    <t>Debt Service Coverage  Ratio (DCSR)</t>
  </si>
  <si>
    <t xml:space="preserve">Avergae DSCR </t>
  </si>
  <si>
    <t>Net Operating Income</t>
  </si>
  <si>
    <t>Years</t>
  </si>
  <si>
    <t>Total Value</t>
  </si>
  <si>
    <t>Add: Opening Stock</t>
  </si>
  <si>
    <t>Less: Closing Stock</t>
  </si>
  <si>
    <t>Purchase Price</t>
  </si>
  <si>
    <t>Initial Investment/ Net Cash Accrual</t>
  </si>
  <si>
    <t>Closing Stock</t>
  </si>
  <si>
    <t>Accounts Receivables (Debtors)</t>
  </si>
  <si>
    <t>Accounts Payable &amp; Accrued Expenses (Creditors)</t>
  </si>
  <si>
    <t>Add: Depreciation</t>
  </si>
  <si>
    <t>Add: Amortization</t>
  </si>
  <si>
    <t>Intwerest on TL</t>
  </si>
  <si>
    <t>Quantity Variation (+5%)</t>
  </si>
  <si>
    <t>Total Income</t>
  </si>
  <si>
    <t>Expenditure</t>
  </si>
  <si>
    <t>Fixed Cost (Excl. of Depreciation, Amortization and Interest)</t>
  </si>
  <si>
    <t>Total Operational Expenses</t>
  </si>
  <si>
    <t>Net Income</t>
  </si>
  <si>
    <t>Cost Variation (+5%)</t>
  </si>
  <si>
    <t>Quantity Variation (-5%)</t>
  </si>
  <si>
    <t>Cost Variation (-5%)</t>
  </si>
  <si>
    <t>Kg</t>
  </si>
  <si>
    <t>Quintals</t>
  </si>
  <si>
    <t>Custom Hiring</t>
  </si>
  <si>
    <t>Cleaning &amp; Grading</t>
  </si>
  <si>
    <t>Total Revnue</t>
  </si>
  <si>
    <t>Duration (In days)</t>
  </si>
  <si>
    <t>Opening Stock</t>
  </si>
  <si>
    <t>Agri Input</t>
  </si>
  <si>
    <t>Purachse Price</t>
  </si>
  <si>
    <t>Total Cost of Production</t>
  </si>
  <si>
    <t>Quantity Variance</t>
  </si>
  <si>
    <t>Cost Variance</t>
  </si>
  <si>
    <t>Amount  (Rs.)</t>
  </si>
  <si>
    <t>IT &amp; It Infrastracture</t>
  </si>
  <si>
    <t>Furniture and Fixture</t>
  </si>
  <si>
    <t>Profit after Tax &amp; Dividend</t>
  </si>
  <si>
    <t>Break Even Point (BEP)</t>
  </si>
  <si>
    <t>Project Viable</t>
  </si>
  <si>
    <t>&lt;60%</t>
  </si>
  <si>
    <t>Avg. Return on Capital Employed Average (ROCE)</t>
  </si>
  <si>
    <t>&gt;20%</t>
  </si>
  <si>
    <t>Internal Rate of Return (IRR)</t>
  </si>
  <si>
    <t>&gt;12%</t>
  </si>
  <si>
    <t>Net present value (at a discount rate of 10 per cent)</t>
  </si>
  <si>
    <t>Positive</t>
  </si>
  <si>
    <t>Payback period</t>
  </si>
  <si>
    <t>Debt Service Coverage Ratio (DSCR)</t>
  </si>
  <si>
    <t>NPV is high and positive at a conservative project life of 7 years</t>
  </si>
  <si>
    <t>&lt;7 years</t>
  </si>
  <si>
    <t xml:space="preserve">           &gt;2</t>
  </si>
  <si>
    <t>No.</t>
  </si>
  <si>
    <t>Maximum Tax rate</t>
  </si>
  <si>
    <t>Season</t>
  </si>
  <si>
    <t>Crop</t>
  </si>
  <si>
    <t>Kharif</t>
  </si>
  <si>
    <t xml:space="preserve">Note- Please note the crops/fruits/vegetable grown in the FPC catchement which has marketable Surplus </t>
  </si>
  <si>
    <t>Need to change/Place Values Manually</t>
  </si>
  <si>
    <t>Need to change figures subject to</t>
  </si>
  <si>
    <t>SSP</t>
  </si>
  <si>
    <t xml:space="preserve">Present Value Equivalent </t>
  </si>
  <si>
    <t>Projected Consolidated Profit and Loss account is to give a projection of how much money you will bring in by selling products or services and how much profit you will make from these sales.</t>
  </si>
  <si>
    <t>A projected balance sheet, also referred to as pro forma balance sheet, lists specific account balances on a business' assets, liabilities and equity for a specified future time. Using a projected balance sheet, financial personnel can present lenders and investors with detailed financial information about planned future asset expansion, making it easier to persuade capital providers to supply the required financing.</t>
  </si>
  <si>
    <t>A projected cash flow statement is used to evaluate cash inflows and outflows to deter. mine when, how much, and for how long cash deficits or surpluses will exist for a farm business during an upcoming time period. </t>
  </si>
  <si>
    <t>This Sheet provide details of land and various construction, including area, rate per unit and total amount</t>
  </si>
  <si>
    <t>This Sheet provide details of Plant &amp; Machinary, including Capacity, rate per machaine, Power Consuption and total amount</t>
  </si>
  <si>
    <t>This Sheet provide details of furniture and fixture, no.of Quantity, rate per unit and total amount</t>
  </si>
  <si>
    <t>Working capital, also known as net working capital (NWC), is the difference between a company’s current assets, such as accounts receivable (customers’ unpaid bills), and inventories of raw materials and finished goods, and its current liabilities, such as accounts payable.This sheet provide requirement of working capital for running business</t>
  </si>
  <si>
    <t>Total Project Costs means  the costs incurred or to be incurred by a FPC in connection with or incidental to the Construction and acquisition of assets including preoprtaive expenditure , design, construction and Working Capital</t>
  </si>
  <si>
    <t>This sheet provide details of how total project cost will raised</t>
  </si>
  <si>
    <t>This Sheet Provide details of loan repayment schedule. The borrower is able to check how much of the monthly EMI is being allocated towards the repayment of the principal outstanding and interest respectively, depending on the rate of interest and tenure of the loan.</t>
  </si>
  <si>
    <t>Closing Stock is an amount of unsold stock lying in your business on a given date. In simple words, it's the inventory which is still in your business waiting to be sold for a given period. The closing stock can be in various forms such as raw materials, in-process goods (WIP) or finished goods</t>
  </si>
  <si>
    <t xml:space="preserve">This sheet provide details of sale, expenses and operating profit of agri input activity </t>
  </si>
  <si>
    <t xml:space="preserve">This sheet provide details of sale, expenses and operating profit of custom hiring activity </t>
  </si>
  <si>
    <t>This sheet provide details capacity utilization of machines and also sale, expenses and operating profit of trading activity</t>
  </si>
  <si>
    <t>This sheet provide details capacity utilization of machines and also sale, expenses and operating profit of Dal Mill activity</t>
  </si>
  <si>
    <t>This Sheet refer for provision of tax calculation</t>
  </si>
  <si>
    <t>The internal rate of return (IRR) is a ratio used in financial analysis to estimate the profitability of potential investments. IRR is a discount rate that makes the net present value (NPV) of all cash flows equal to zero in a discounted cash flow analysis.</t>
  </si>
  <si>
    <t>Break-even point (BEP) is a term in accounting that refers to the situation where a company’s revenues and expenses were equal within a specific period. It means that there were no net profits or no net losses for the company The main purpose of break-even analysis is to determine the minimum output that must be exceeded for a business to profit.</t>
  </si>
  <si>
    <t>Net present value is the present value of the cash flows at the required rate of return of your project compared to your initial investment. If the NPV of a project or investment is positive, it means that the discounted present value of all future cash flows related to that project or investment will be positive.</t>
  </si>
  <si>
    <t>Return on investment (ROI) is a performance measure used to evaluate the efficiency or profitability of an investment</t>
  </si>
  <si>
    <t>The payback period refers to the amount of time it takes to recover the cost of an investment </t>
  </si>
  <si>
    <t>the debt-service coverage ratio (DSCR) is a measurement of a firm's available cash flow to pay current debt obligations. The DSCR shows investors whether a company has enough income to pay its debts.</t>
  </si>
  <si>
    <t>Custom Hiring Equipment</t>
  </si>
  <si>
    <t>Double Plough</t>
  </si>
  <si>
    <t>Cultivator</t>
  </si>
  <si>
    <t>Rotavator</t>
  </si>
  <si>
    <t>BBF Seed Sowing Machine</t>
  </si>
  <si>
    <t>Mobile Threshing</t>
  </si>
  <si>
    <t>Working Days</t>
  </si>
  <si>
    <t>No.of Hours in day</t>
  </si>
  <si>
    <t>No.of Equipment</t>
  </si>
  <si>
    <t>Required Hrs/Acre</t>
  </si>
  <si>
    <t xml:space="preserve">Total Acres </t>
  </si>
  <si>
    <t>No.of Liters Diesel Required/acre</t>
  </si>
  <si>
    <t>Service Charges/Acre (Amount (Rs.)</t>
  </si>
  <si>
    <t>Labour Requirement</t>
  </si>
  <si>
    <t xml:space="preserve">Total no.of Liters required </t>
  </si>
  <si>
    <t>Litres</t>
  </si>
  <si>
    <t>Total No. of Days Labour Reuired</t>
  </si>
  <si>
    <t>No. of Days</t>
  </si>
  <si>
    <t xml:space="preserve">Custom Hiring Charges </t>
  </si>
  <si>
    <t>This Sheet provide details of vehicles, no.of vehicle, rate per vehicle and total amount</t>
  </si>
  <si>
    <t>Preliminary expenses are considered as prior expenses before the beginning of business or Projects</t>
  </si>
  <si>
    <t>Packaging (In Kg)</t>
  </si>
  <si>
    <t>Cultivation In (%)</t>
  </si>
  <si>
    <t>No.of Operation Days</t>
  </si>
  <si>
    <t>Quinatal/Hour</t>
  </si>
  <si>
    <t>Trading</t>
  </si>
  <si>
    <t>Process</t>
  </si>
  <si>
    <t>%</t>
  </si>
  <si>
    <t>Transporation Cost/100 Kg</t>
  </si>
  <si>
    <t>Gunny Bags/100 Kg</t>
  </si>
  <si>
    <t>Total Quantity to be Processed</t>
  </si>
  <si>
    <t xml:space="preserve">Grant (%) </t>
  </si>
  <si>
    <t>Grant Amount (Rs.)</t>
  </si>
  <si>
    <t>Loan Amount (Rs)</t>
  </si>
  <si>
    <t>Interest rate /PA</t>
  </si>
  <si>
    <t>Loan Tenure in years</t>
  </si>
  <si>
    <t>Moratorium Period ( In Months)</t>
  </si>
  <si>
    <t>Qtls P Hour</t>
  </si>
  <si>
    <t>Quanity for Processing and Trading for PC</t>
  </si>
  <si>
    <t>Grains</t>
  </si>
  <si>
    <t>Fruit and Vegetables</t>
  </si>
  <si>
    <t>Tentative Wastage Percentage</t>
  </si>
  <si>
    <t>Commodity</t>
  </si>
  <si>
    <t>Percentage</t>
  </si>
  <si>
    <t>Chilli</t>
  </si>
  <si>
    <t>Pomegranate</t>
  </si>
  <si>
    <t>Total No.of Members  Cultivating F &amp; V</t>
  </si>
  <si>
    <t>Total No.of Non-members  Cultivating F &amp; V</t>
  </si>
  <si>
    <t>Fruit  &amp; Vegetables Crop Production Details</t>
  </si>
  <si>
    <t>Area Under Vegetables in Rabbi Season ( In Acres)</t>
  </si>
  <si>
    <t>Area Under Vegetables in Summer Season ( In Acres)</t>
  </si>
  <si>
    <t>Faclitiy 5 - Agri Input Centre</t>
  </si>
  <si>
    <t>Faclitiy 1 - Cleaning &amp; Grading</t>
  </si>
  <si>
    <t>Faclitiy 2 - Processing Unit- Dal Mill</t>
  </si>
  <si>
    <t>Faclitiy 3 - Warehouse</t>
  </si>
  <si>
    <t xml:space="preserve">Faclitiy 4 - Custom Hiring </t>
  </si>
  <si>
    <t>Cumuilative Profit</t>
  </si>
  <si>
    <t>Loan Repayment</t>
  </si>
  <si>
    <t>Preliminary &amp; Pre- operative Expenses</t>
  </si>
  <si>
    <t>Smart Grant -in-Aid</t>
  </si>
  <si>
    <t>Total F &amp; V Quantity to be Processed</t>
  </si>
  <si>
    <t>Total Grains Quantity to be Processed</t>
  </si>
  <si>
    <t xml:space="preserve">Job Work for Grains </t>
  </si>
  <si>
    <t>Quanity for trading of Grains</t>
  </si>
  <si>
    <t>No.of Working Days</t>
  </si>
  <si>
    <t xml:space="preserve">Horticulture Processing </t>
  </si>
  <si>
    <t>Grain Processing - Dal Mill</t>
  </si>
  <si>
    <t>F &amp; V Processing - Pomegrantes</t>
  </si>
  <si>
    <t>Cost Of Production/Quintals</t>
  </si>
  <si>
    <t>F &amp; V Processing Machainary</t>
  </si>
  <si>
    <t>Assumption:</t>
  </si>
  <si>
    <t>Rate of Interest assumed as 12%</t>
  </si>
  <si>
    <t>Moratorium Period 6 Months</t>
  </si>
  <si>
    <t>Closing stock of each facility is 5%</t>
  </si>
  <si>
    <t>Asumption:</t>
  </si>
  <si>
    <t>Sensitivity analysis is a financial model that determines how target variables are affected based on changes in Quantity or cost variance known as input variables.Here it is assume 5% (+,-) while calculating sensitivity analysis</t>
  </si>
  <si>
    <t>Assumptions:</t>
  </si>
  <si>
    <t>35% of total produce of the cluster will be trade in first year and it will increase everyear year by 5 %</t>
  </si>
  <si>
    <t>5% of total produce of the cluster will be Process in first year and it will increase everyear year by 5 %</t>
  </si>
  <si>
    <t xml:space="preserve">65% of total land of members is considered for Agri input service centre business </t>
  </si>
  <si>
    <t>Revenue and cost is related to this facility only</t>
  </si>
  <si>
    <t>Common expenditure such as admin, depreciation and amortization not considered.</t>
  </si>
  <si>
    <t xml:space="preserve">Grain Processing </t>
  </si>
  <si>
    <t>Area under crop (In Acres)</t>
  </si>
  <si>
    <t>1.1 Total Project Cost</t>
  </si>
  <si>
    <t>1.2 Means of Finance</t>
  </si>
  <si>
    <t>1.3 Financial Indicators</t>
  </si>
  <si>
    <t>3.1 Schedule of General Admin Expenses</t>
  </si>
  <si>
    <t>3.2 Depreciation</t>
  </si>
  <si>
    <t>3.3 Amortization Schedule</t>
  </si>
  <si>
    <t>3.4 Tax Schedule</t>
  </si>
  <si>
    <t xml:space="preserve">4.1 Repayment Schedule </t>
  </si>
  <si>
    <t>5.2 Working Capital Calculation</t>
  </si>
  <si>
    <t>6.1 Consolidated Profit and loss account for the Project</t>
  </si>
  <si>
    <t>7.1 Balancesheet  for the Project</t>
  </si>
  <si>
    <t>8.1 Cash Flow Statement for the Project</t>
  </si>
  <si>
    <t>9.1 Internal Rate of Return</t>
  </si>
  <si>
    <t>9.2 Break even Point</t>
  </si>
  <si>
    <t>9.3 Net Presnt Value</t>
  </si>
  <si>
    <t>9.4 Return On Investments</t>
  </si>
  <si>
    <t>9.5 Payback Period (In years) - Project</t>
  </si>
  <si>
    <t>9.6 Debt Service Covergae Ratio (DSCR)</t>
  </si>
  <si>
    <t>9.7 Sensitivity Analysis</t>
  </si>
  <si>
    <t>10.1 Details of members and non- members</t>
  </si>
  <si>
    <t xml:space="preserve">10.2 Statement Showing Area,production,productivity and marketable Surplus of Crops </t>
  </si>
  <si>
    <t>10.4 Quantity of Marketable Surplus Produce Considered for Processing Business</t>
  </si>
  <si>
    <t>10.5 Crop-wise Area Considered for Agri Input Service Centre</t>
  </si>
  <si>
    <t>11.1 Details of members and non- members</t>
  </si>
  <si>
    <t xml:space="preserve">11.2 Statement Showing Area,production,productivity and marketable Surplus of Crops </t>
  </si>
  <si>
    <t>11.4 Quantity of Marketable Surplus Produce Considered for Processing Business</t>
  </si>
  <si>
    <t>11.5 Crop-wise Area Considered for Agri Input Service Centre</t>
  </si>
  <si>
    <t>Facility 3 - Trading Unit</t>
  </si>
  <si>
    <t>12.1 Producers/ Capacity Utilization</t>
  </si>
  <si>
    <t>12.2 Facility 1 - Profit and loss of Trading</t>
  </si>
  <si>
    <t>13.1 Producers/ Capacity Utilization</t>
  </si>
  <si>
    <t>Facility 3 - Warehouse</t>
  </si>
  <si>
    <t>14.1 Capacity Utilization</t>
  </si>
  <si>
    <t>14.2 Facility 3 - Profit and loss of Warehouse</t>
  </si>
  <si>
    <t>Facility 4 - Custom Hiring</t>
  </si>
  <si>
    <t>15.1 Capacity Utlization</t>
  </si>
  <si>
    <t>15.2 Facility 4 - Profit and loss of Custom Hiring</t>
  </si>
  <si>
    <t>Facility 5 - Agri Input</t>
  </si>
  <si>
    <t>Facility 5 - Profit and loss of Agri Input</t>
  </si>
  <si>
    <t xml:space="preserve">Facility 6 - F &amp; V Processing Unit </t>
  </si>
  <si>
    <t>17.1 Producer/Capacity Utlization</t>
  </si>
  <si>
    <t>17.2 Activity 6 - Profit and loss of F &amp; V Processing Unit</t>
  </si>
  <si>
    <t>Inflation is assumed to be 5% anually.</t>
  </si>
  <si>
    <t>Other Current Assets</t>
  </si>
  <si>
    <t>Grains Crops and  Production Details</t>
  </si>
  <si>
    <t>Financial ratio</t>
  </si>
  <si>
    <t>Estimated</t>
  </si>
  <si>
    <t>Result</t>
  </si>
  <si>
    <t>Permissible limit</t>
  </si>
  <si>
    <t xml:space="preserve">BEP shall be less than 60% </t>
  </si>
  <si>
    <t xml:space="preserve">RoCE  for the project shall be more than 20% </t>
  </si>
  <si>
    <t xml:space="preserve">The project internal rate of return shall be more than 12% </t>
  </si>
  <si>
    <t xml:space="preserve">With a discount rate of 10% and a span of 7 operational years, the NPV should be positive </t>
  </si>
  <si>
    <t xml:space="preserve">The Pack Back Period (Project/ Equity) shall be less than 7 years </t>
  </si>
  <si>
    <t>DSCR shall be more than 2 for better performing project.</t>
  </si>
  <si>
    <t>Steps</t>
  </si>
  <si>
    <t>Remark</t>
  </si>
  <si>
    <t xml:space="preserve">1.0 About the calculator </t>
  </si>
  <si>
    <t xml:space="preserve">2.0 Features </t>
  </si>
  <si>
    <t>Colour code</t>
  </si>
  <si>
    <t xml:space="preserve">CAPEX Details </t>
  </si>
  <si>
    <t>Other expenditure and taxes</t>
  </si>
  <si>
    <t xml:space="preserve">Closing stock and working capital </t>
  </si>
  <si>
    <t>Sheet No</t>
  </si>
  <si>
    <t>Profit and Loss Statement</t>
  </si>
  <si>
    <t>Cash Flow Statement</t>
  </si>
  <si>
    <t>Balance Sheet</t>
  </si>
  <si>
    <t xml:space="preserve">Facility-1 / Business activity -Trading </t>
  </si>
  <si>
    <t>Facility-3 Business activity -Warehouse</t>
  </si>
  <si>
    <t xml:space="preserve">Facility-4 Business activity -Custom hiring </t>
  </si>
  <si>
    <t>Facility-5 Business activity - Agri. Input</t>
  </si>
  <si>
    <t xml:space="preserve">Facility-2 / Business activity - Processing (Grain, pulses, oilseed) </t>
  </si>
  <si>
    <t>Facility-6 Business activity -Processing  (Horti. Produce)</t>
  </si>
  <si>
    <t>Step-1</t>
  </si>
  <si>
    <t>Step-2</t>
  </si>
  <si>
    <t>Step-3</t>
  </si>
  <si>
    <t>Step-4</t>
  </si>
  <si>
    <t>Step-5</t>
  </si>
  <si>
    <t>Step-6</t>
  </si>
  <si>
    <t>Step-7</t>
  </si>
  <si>
    <t>Grain production details &amp; or F &amp; V production details  (Marketable surplus)</t>
  </si>
  <si>
    <t>Financial indicators  (IRR, BEP,NPV, ROI, Pay back period, DSCR, sensitivity analysis )</t>
  </si>
  <si>
    <t>Transport vehical  (Refer van and other)</t>
  </si>
  <si>
    <t xml:space="preserve">4.0 Colour codes used </t>
  </si>
  <si>
    <t xml:space="preserve">5.0 Guidance  note for using calculator </t>
  </si>
  <si>
    <t xml:space="preserve">Generate automatically </t>
  </si>
  <si>
    <t xml:space="preserve">Draft Business Plan Financial Calculator </t>
  </si>
  <si>
    <t>Project cost and Means of finance with financial indicators</t>
  </si>
  <si>
    <t>Consumption in (%)</t>
  </si>
  <si>
    <t>Bank Loan (% )</t>
  </si>
  <si>
    <t>Note for users</t>
  </si>
  <si>
    <r>
      <t xml:space="preserve">The business plan financial calculator will be the tool to generate the financial projection of the business plan based on the certain data inputs. </t>
    </r>
    <r>
      <rPr>
        <b/>
        <sz val="11"/>
        <color theme="1"/>
        <rFont val="Calibri"/>
        <family val="2"/>
        <scheme val="minor"/>
      </rPr>
      <t xml:space="preserve">It will be the tool which can be easily used by any professional who understand the basic accounting. The business plan financial calculator will generate following statements automatically based on certain data inputs:
</t>
    </r>
    <r>
      <rPr>
        <sz val="11"/>
        <color theme="1"/>
        <rFont val="Calibri"/>
        <family val="2"/>
        <scheme val="minor"/>
      </rPr>
      <t>1. Profit and Loss Statement
2. Cash Flow Statement
3. Balance Sheet
4</t>
    </r>
    <r>
      <rPr>
        <sz val="11"/>
        <color rgb="FFC00000"/>
        <rFont val="Calibri"/>
        <family val="2"/>
        <scheme val="minor"/>
      </rPr>
      <t xml:space="preserve">. </t>
    </r>
    <r>
      <rPr>
        <sz val="11"/>
        <rFont val="Calibri"/>
        <family val="2"/>
        <scheme val="minor"/>
      </rPr>
      <t xml:space="preserve">Depreciation, amortization and tax calculation </t>
    </r>
    <r>
      <rPr>
        <sz val="11"/>
        <color theme="1"/>
        <rFont val="Calibri"/>
        <family val="2"/>
        <scheme val="minor"/>
      </rPr>
      <t xml:space="preserve">
It will also auto calculate the following financial ratios to understand the viability of the business plan / Full Project Proposal:
1. Break Even Point
2. Internal Rate of Return
3. Net Present Value
4. Return on Capital Employed
5. Project Payback Period
6. DSCR
7.Sensitivity analysis </t>
    </r>
    <r>
      <rPr>
        <b/>
        <sz val="11"/>
        <color theme="1"/>
        <rFont val="Calibri"/>
        <family val="2"/>
        <scheme val="minor"/>
      </rPr>
      <t xml:space="preserve">
The above ratios will help  decision makers for approving the business plan / Full Project Report.</t>
    </r>
  </si>
  <si>
    <t xml:space="preserve">3.0 Preparatory work </t>
  </si>
  <si>
    <t xml:space="preserve">Sheet name </t>
  </si>
  <si>
    <t xml:space="preserve"> Sheet in which need to enter data</t>
  </si>
  <si>
    <t>Sheet No. 10 for grain and 11 for F &amp; V</t>
  </si>
  <si>
    <t>Sheet No. 2</t>
  </si>
  <si>
    <t>Please add bank loan per cent if applicable other wise put zero</t>
  </si>
  <si>
    <t>Sheet No. 1</t>
  </si>
  <si>
    <t xml:space="preserve">Please fill necessary details in yellow cells  for calculating revenue and expenditure of identified business activities only. </t>
  </si>
  <si>
    <t>Sheet No. 12</t>
  </si>
  <si>
    <t>Sheet No. 13</t>
  </si>
  <si>
    <t>Sheet No. 14</t>
  </si>
  <si>
    <t>Sheet No. 15</t>
  </si>
  <si>
    <t>Sheet No. 16</t>
  </si>
  <si>
    <t>Sheet No. 17</t>
  </si>
  <si>
    <t>Please add staff salary and other details in Yellow cell (in 3.1 table only)</t>
  </si>
  <si>
    <t xml:space="preserve">TL repayment schedule </t>
  </si>
  <si>
    <t>Please add interest rate, tenure and Moratorium Period ( In Month) in green cells</t>
  </si>
  <si>
    <t>Sheet No. 4</t>
  </si>
  <si>
    <t>Please add necessary details in yellow and green cells</t>
  </si>
  <si>
    <t>Sheet No. 5</t>
  </si>
  <si>
    <t xml:space="preserve">Auto generating sheets  (No need to enter any data) </t>
  </si>
  <si>
    <t>B1</t>
  </si>
  <si>
    <t>Sheet No. 6</t>
  </si>
  <si>
    <t>B2</t>
  </si>
  <si>
    <t>Sheet No. 7</t>
  </si>
  <si>
    <t>B3</t>
  </si>
  <si>
    <t>Sheet No. 8</t>
  </si>
  <si>
    <t>B4</t>
  </si>
  <si>
    <t>Sheet No.9</t>
  </si>
  <si>
    <t>B5</t>
  </si>
  <si>
    <t xml:space="preserve">Depreciation, amortization and tax calculation </t>
  </si>
  <si>
    <t>Step-8</t>
  </si>
  <si>
    <t xml:space="preserve">Copy relevant tables in word file of FPP </t>
  </si>
  <si>
    <t xml:space="preserve">Please fill data in yellow colour cells i.e. members no, non-members , average area etc. </t>
  </si>
  <si>
    <t xml:space="preserve">Kindly fill yellow cells by using rates mentioned in estimates of civil structures and quotation's of machineries and equipment's </t>
  </si>
  <si>
    <t xml:space="preserve">Business activity wise revenue, expenditure  and profit calculation </t>
  </si>
  <si>
    <t xml:space="preserve">1.0 Please collect basic data of targeted commodities in the cluster accurately (area, productivity and consumption at HH level ) 
2.0 Finalize Business activity in consultation with CBO members  and officials / experts.
3.0 Accordingly, please add  CAPEX details i.e. related to building, machinery and other infrastructure properly. 
4.0 In CAPEX SHEET, please refer area and rates mentioned in estimates of civil structures prepared by engineer whereas quotation's in case of  machinery and other equipment or material. 
5.0 Please write down assumptions clearly for each business activity  (example- produce  aggregation and bulk marketing  in  the form of % in Y-1, Y-2.......... ) 
</t>
  </si>
  <si>
    <r>
      <t>1.0 It helps in preparing financial projections for both type of sub-projects.i.e. Grain and Frutis &amp; Vegetables.  
2.0 It can be easily used by any person / professional who understand the basic accounting.
3.0 Assist planners to map marketable surplus of key commodities quickly.
3.0 This tool will generate P  &amp; L , Cash flow statement and balance sheet automatically.
4.0 The calculator helps to prepare all  categories of business plans envisaged in SMART Project viz. PPs, MAPs, CIIs, Warehousing related)
5.0 It will also calculate all ratios automatically</t>
    </r>
    <r>
      <rPr>
        <sz val="11"/>
        <color rgb="FFC00000"/>
        <rFont val="Calibri"/>
        <family val="2"/>
        <scheme val="minor"/>
      </rPr>
      <t xml:space="preserve">. </t>
    </r>
  </si>
  <si>
    <t>Sheet No. 3 (Ref. 3.2 &amp; 3.3)</t>
  </si>
  <si>
    <t>Sheet no.3 (Ref. 3.1 table only)</t>
  </si>
  <si>
    <t>Capacity Utilization (JW Services)</t>
  </si>
  <si>
    <t>Capacity Utilization (Captive Operations)</t>
  </si>
  <si>
    <t>Job work Services</t>
  </si>
  <si>
    <t>Total JW Receipts (Rs. Lakh)</t>
  </si>
  <si>
    <t>Captive Operations</t>
  </si>
  <si>
    <t>Grade 1</t>
  </si>
  <si>
    <t>Grade 2</t>
  </si>
  <si>
    <t>No of days of opertaion (JW Services)</t>
  </si>
  <si>
    <t>No of days of opertaion (Captive Operations)</t>
  </si>
  <si>
    <t>Tomato</t>
  </si>
  <si>
    <t>Average Land Holding per member(Ha)</t>
  </si>
  <si>
    <t>Total Cultivated Land Under F &amp; V (Ha)</t>
  </si>
  <si>
    <t>Total Land under Cultivaion ( In Ha)</t>
  </si>
  <si>
    <t>Total Annual Plant Capacity (MT)</t>
  </si>
  <si>
    <t>60% reserved for JW Services</t>
  </si>
  <si>
    <t>40% reserved for Captive operations</t>
  </si>
  <si>
    <t>Total Input (MT)</t>
  </si>
  <si>
    <t xml:space="preserve">Job work Charges- Rs/MT </t>
  </si>
  <si>
    <t>Total Input -Tomato (MT)</t>
  </si>
  <si>
    <t>Total Input -Chilli (MT)</t>
  </si>
  <si>
    <t>Animal Feed</t>
  </si>
  <si>
    <t>Waste</t>
  </si>
  <si>
    <t>Captive Operations Grade Output -Tomato(MT)</t>
  </si>
  <si>
    <t>Captive Operations Grade Output -Chilli(MT)</t>
  </si>
  <si>
    <t>Green Chilli</t>
  </si>
  <si>
    <t>Red Chilli</t>
  </si>
  <si>
    <t>Total Working days of the Facilty</t>
  </si>
  <si>
    <t>Y8</t>
  </si>
  <si>
    <t>Y9</t>
  </si>
  <si>
    <t>Y10</t>
  </si>
  <si>
    <t>#</t>
  </si>
  <si>
    <t>Rate (per MT)</t>
  </si>
  <si>
    <t>Sales (in Rs. Lakh)</t>
  </si>
  <si>
    <t>Bitter Guard</t>
  </si>
  <si>
    <t>Total Sales</t>
  </si>
  <si>
    <t>Opn Stock</t>
  </si>
  <si>
    <t>Total Production</t>
  </si>
  <si>
    <t>Sales</t>
  </si>
  <si>
    <t>Selling Price (Rs/MT)</t>
  </si>
  <si>
    <t>Value of Opening Stock (Rs. Lakh)</t>
  </si>
  <si>
    <t>Value of Closing Stock (Rs. Lakh)</t>
  </si>
  <si>
    <t>All Products</t>
  </si>
  <si>
    <t>Finished Good StocK</t>
  </si>
  <si>
    <t>Selling Schedule</t>
  </si>
  <si>
    <t>Details of Cold Storage Income</t>
  </si>
  <si>
    <t>Capacity of Cold Storage in MT per month</t>
  </si>
  <si>
    <t>Avg. storage period per cycle (days)</t>
  </si>
  <si>
    <t>No of Months</t>
  </si>
  <si>
    <t>Total Throughput Capacity (MT)</t>
  </si>
  <si>
    <t>Receipts :-</t>
  </si>
  <si>
    <t>Receipts @ 100% CU</t>
  </si>
  <si>
    <t>Qty stored (MT)</t>
  </si>
  <si>
    <t>Qty utilised for captive operations (MT)</t>
  </si>
  <si>
    <t>Qty available for renting out (MT)</t>
  </si>
  <si>
    <t>Cold Storage Rent Receipts</t>
  </si>
  <si>
    <t>Rent Per MT per month(in Rs.)</t>
  </si>
  <si>
    <t>Capative Operation</t>
  </si>
  <si>
    <t>Cold Storage Receipt</t>
  </si>
  <si>
    <t>-</t>
  </si>
  <si>
    <t>As per Schedule</t>
  </si>
  <si>
    <t>MT/MONTH</t>
  </si>
  <si>
    <t>Office &amp; Admin</t>
  </si>
  <si>
    <t>Printing &amp; Stationery</t>
  </si>
  <si>
    <t>2000 p.m.</t>
  </si>
  <si>
    <t>Telephone</t>
  </si>
  <si>
    <t>1000 p.m.</t>
  </si>
  <si>
    <t>Rent for Land</t>
  </si>
  <si>
    <t xml:space="preserve">3000 p.a. </t>
  </si>
  <si>
    <t>Internet &amp; Broadband</t>
  </si>
  <si>
    <t xml:space="preserve">1250 p.m. </t>
  </si>
  <si>
    <t>Office Electricity</t>
  </si>
  <si>
    <t>5 KVA (Power chart)</t>
  </si>
  <si>
    <t>Accounting Charges</t>
  </si>
  <si>
    <t>3000 p.m.</t>
  </si>
  <si>
    <t>Legal Expenses</t>
  </si>
  <si>
    <t>Admin Staff Salary</t>
  </si>
  <si>
    <t>Admin Manpower Chart</t>
  </si>
  <si>
    <t>Conveyance</t>
  </si>
  <si>
    <t>5000 p.m.</t>
  </si>
  <si>
    <t>Travelling Expenses</t>
  </si>
  <si>
    <t xml:space="preserve">Perodicals </t>
  </si>
  <si>
    <t xml:space="preserve">1000 p.m. </t>
  </si>
  <si>
    <t>Staff Welfare</t>
  </si>
  <si>
    <t>10% of Staff Salaries</t>
  </si>
  <si>
    <t>Total (Office and Admin Fixed Exp)</t>
  </si>
  <si>
    <t>Factory Exp (Fixed)</t>
  </si>
  <si>
    <t>Repairs</t>
  </si>
  <si>
    <t>1% of machine cost &amp; civil works</t>
  </si>
  <si>
    <t>Insurance</t>
  </si>
  <si>
    <t>0.5% of the Capital Investment</t>
  </si>
  <si>
    <t>Factory Staff Salary</t>
  </si>
  <si>
    <t>Factory Staff Manpower Chart</t>
  </si>
  <si>
    <t>Electricity</t>
  </si>
  <si>
    <t>Basis</t>
  </si>
  <si>
    <t>Preliminary Exp</t>
  </si>
  <si>
    <t xml:space="preserve"> </t>
  </si>
  <si>
    <t>Debtors</t>
  </si>
  <si>
    <t>Stock</t>
  </si>
  <si>
    <t>Creditors</t>
  </si>
  <si>
    <t>(1+2-3)</t>
  </si>
  <si>
    <t>Total Working Capital Requirement</t>
  </si>
  <si>
    <t>W.C Margin</t>
  </si>
  <si>
    <t>W.C Loan (unsecured loan from Directors)</t>
  </si>
  <si>
    <t>Job work Charges</t>
  </si>
  <si>
    <t xml:space="preserve">Add: Opening Stock RM </t>
  </si>
  <si>
    <t>Less: Closing Stock RM</t>
  </si>
  <si>
    <t>Rate (Rs. per MT)</t>
  </si>
  <si>
    <t>Purchase Valule (Rs. In Lakh)</t>
  </si>
  <si>
    <t>Purchases (Rs. In Lakh)</t>
  </si>
  <si>
    <t>Purchase Schedule</t>
  </si>
  <si>
    <t>Raw Material (MT)</t>
  </si>
  <si>
    <t xml:space="preserve">Purchase </t>
  </si>
  <si>
    <t>Consumed</t>
  </si>
  <si>
    <t>Closing stock</t>
  </si>
  <si>
    <t>Prices (per MT)</t>
  </si>
  <si>
    <t>Mandi Price</t>
  </si>
  <si>
    <t>Value of Opening Stock</t>
  </si>
  <si>
    <t>Value of Closing stock</t>
  </si>
  <si>
    <t>Closing stock - RM</t>
  </si>
  <si>
    <t>Purchase Cost</t>
  </si>
  <si>
    <t>As per Purchase Schedule</t>
  </si>
  <si>
    <t>Add: Opening Stock FG</t>
  </si>
  <si>
    <t>Less: Closing Stock FG</t>
  </si>
  <si>
    <t>As per CS Sche</t>
  </si>
  <si>
    <t>Manpower Chart</t>
  </si>
  <si>
    <t>S.No.</t>
  </si>
  <si>
    <t>Dept.</t>
  </si>
  <si>
    <t>Monthly Salary</t>
  </si>
  <si>
    <t>Annual Income</t>
  </si>
  <si>
    <t>CEO</t>
  </si>
  <si>
    <t>Admin</t>
  </si>
  <si>
    <t>M</t>
  </si>
  <si>
    <t>Accounts Head</t>
  </si>
  <si>
    <t>F</t>
  </si>
  <si>
    <t>Marketing and Business Development Head</t>
  </si>
  <si>
    <t>Market BD Exec</t>
  </si>
  <si>
    <t>Admin Staff</t>
  </si>
  <si>
    <t>Security Staff</t>
  </si>
  <si>
    <t>Factory Head*</t>
  </si>
  <si>
    <t>factory</t>
  </si>
  <si>
    <t>Product and Quality Assurance Manager</t>
  </si>
  <si>
    <t>Plant Operators</t>
  </si>
  <si>
    <t>1M/1F</t>
  </si>
  <si>
    <t>Weigh Bridge Operator</t>
  </si>
  <si>
    <t>Farm Implements Helpers</t>
  </si>
  <si>
    <t>Maintenance Engineer</t>
  </si>
  <si>
    <t>Cold Store supervisor</t>
  </si>
  <si>
    <t>Helpers</t>
  </si>
  <si>
    <t>300/day</t>
  </si>
  <si>
    <t>Variable with production</t>
  </si>
  <si>
    <t>300 / Labour/ day</t>
  </si>
  <si>
    <t>Power Calc. (Fixed)</t>
  </si>
  <si>
    <t>Power Calc. (Variable)</t>
  </si>
  <si>
    <t>Power Chart</t>
  </si>
  <si>
    <t>Water</t>
  </si>
  <si>
    <t>Stocks of Safety Gear (gloves, shoes, disinfectants, etc)</t>
  </si>
  <si>
    <t xml:space="preserve">Transportation Expenses </t>
  </si>
  <si>
    <t>Selling &amp; Dist Exp</t>
  </si>
  <si>
    <t>Misc Exp</t>
  </si>
  <si>
    <t>Per Labour</t>
  </si>
  <si>
    <t>Per MT</t>
  </si>
  <si>
    <t>Per day</t>
  </si>
  <si>
    <t>As per Manpower Chart</t>
  </si>
  <si>
    <t>Fixed Cost - Related to Production</t>
  </si>
  <si>
    <t>Working Files</t>
  </si>
  <si>
    <t>Less Opening Stock FG</t>
  </si>
  <si>
    <t>Add Closing Stock FG</t>
  </si>
  <si>
    <t>Days</t>
  </si>
  <si>
    <t>15 Days As per CS Schedule</t>
  </si>
  <si>
    <t>5.1 Closing and Opening Stock Calculation (FINISHED GOOD AND RAW MATERIAL)</t>
  </si>
  <si>
    <t>Working Capital Loan
( Unsecured Loan From Director @ 9%)</t>
  </si>
  <si>
    <t>Interest on Working Capital @ 9%</t>
  </si>
  <si>
    <t xml:space="preserve">Closing Stock </t>
  </si>
  <si>
    <t>Changes In FG Closing Stock</t>
  </si>
  <si>
    <t>Yield/Ha(In MT)</t>
  </si>
  <si>
    <t>Total Production (In MT)</t>
  </si>
  <si>
    <t>Marketable Surplus ( In MT)</t>
  </si>
  <si>
    <t>Increase/(Decrease) in CL</t>
  </si>
  <si>
    <t>(Increase)/Decrease in CA</t>
  </si>
  <si>
    <t>Company has to give credit for sale at 30 Days</t>
  </si>
  <si>
    <t>Company will receive credit from suppliers for 15 days</t>
  </si>
  <si>
    <t>25 % of Working Capital will be financed by the company and balance 75% from bank finance at 9% rate of interest</t>
  </si>
  <si>
    <t>Vegetable Cleaning &amp; Grading &amp; Cold Storage</t>
  </si>
  <si>
    <t>Working Model</t>
  </si>
  <si>
    <t>Job Work Services</t>
  </si>
  <si>
    <t>60% capacity reserved</t>
  </si>
  <si>
    <t>Capitive Operations</t>
  </si>
  <si>
    <t>40% capacity reserved</t>
  </si>
  <si>
    <t>Bldg</t>
  </si>
  <si>
    <t>P&amp;M and MFA</t>
  </si>
  <si>
    <t>Capacity of Plant- Cleaning &amp; Gradding</t>
  </si>
  <si>
    <t>Cold Store Capacity</t>
  </si>
  <si>
    <t>Capacity Utilization</t>
  </si>
  <si>
    <t>JW Services</t>
  </si>
  <si>
    <t>Farm Implements-Custom Hiring</t>
  </si>
  <si>
    <t>Closing Stock- Raw Material</t>
  </si>
  <si>
    <t>1 days</t>
  </si>
  <si>
    <t>Closing Stock- Finished Goods- in cold store</t>
  </si>
  <si>
    <t>15 days</t>
  </si>
  <si>
    <t>Advances to Suppliers</t>
  </si>
  <si>
    <t>0 days</t>
  </si>
  <si>
    <t>Purchase Price (in Rs. Per MT)</t>
  </si>
  <si>
    <t>Farm Level Support Cost</t>
  </si>
  <si>
    <t>Discounted RM price (due to farm level interventions) as % of mandi price</t>
  </si>
  <si>
    <t xml:space="preserve">Job Work Charges </t>
  </si>
  <si>
    <t>Vegetable Cleaning &amp; Grading (in Rs. Per MT)</t>
  </si>
  <si>
    <t>Farm Implement Business (in Rs. Per Acre - Fixed)</t>
  </si>
  <si>
    <t>FI1</t>
  </si>
  <si>
    <t>FI2</t>
  </si>
  <si>
    <t xml:space="preserve">Inflation assumed </t>
  </si>
  <si>
    <t>5% p.a.</t>
  </si>
  <si>
    <t>Sales Price (in Rs. Per MT)</t>
  </si>
  <si>
    <t>Loan Interest Rate</t>
  </si>
  <si>
    <t>Term Loan Tenure (inc. Moratorium of 12 months)</t>
  </si>
  <si>
    <t>84 months (7 years)</t>
  </si>
  <si>
    <t>Income Tax calc.</t>
  </si>
  <si>
    <t>Current Liability</t>
  </si>
  <si>
    <t>Sundry Debtors</t>
  </si>
  <si>
    <t>Bran</t>
  </si>
  <si>
    <t>Jari</t>
  </si>
  <si>
    <t>Total Input</t>
  </si>
  <si>
    <t>Capative Mix</t>
  </si>
  <si>
    <t>30 days</t>
  </si>
  <si>
    <t>Name</t>
  </si>
  <si>
    <t>Finished Goods  -Chilli(MT)</t>
  </si>
  <si>
    <t>Finished Goods -Tomato(MT)</t>
  </si>
  <si>
    <t>Cold Storage Revenue</t>
  </si>
  <si>
    <t>Weigh Bridge Revenue Schedule</t>
  </si>
  <si>
    <t>Trucks Weighed per day</t>
  </si>
  <si>
    <t>No. of days of operation</t>
  </si>
  <si>
    <t>Charges per vehicle</t>
  </si>
  <si>
    <t>Tractors Weighed per day</t>
  </si>
  <si>
    <t xml:space="preserve">Total Revenue </t>
  </si>
  <si>
    <t>Weigh Bridge Charges</t>
  </si>
  <si>
    <t>Total expected Receipts @ 100% CU in Rs Lakh</t>
  </si>
  <si>
    <t>Gross Revenue</t>
  </si>
  <si>
    <t>Godown</t>
  </si>
  <si>
    <t>Total Input (Flax) (MT)</t>
  </si>
  <si>
    <t>Total Input -Mustered(MT)</t>
  </si>
  <si>
    <t>700MT</t>
  </si>
  <si>
    <t>0.54 TPH</t>
  </si>
  <si>
    <t>Captive Operations Grade Output (Flax)(MT)</t>
  </si>
  <si>
    <t>Captive Operations Grade Output (Mustered)(MT)</t>
  </si>
  <si>
    <t>Flax Oil</t>
  </si>
  <si>
    <t>Oil Cake</t>
  </si>
  <si>
    <t>Mustered Oil</t>
  </si>
  <si>
    <t xml:space="preserve">Output retained </t>
  </si>
  <si>
    <t>Flax oil cake</t>
  </si>
  <si>
    <t>Safflower oil cake</t>
  </si>
  <si>
    <t>Mustered oil cake</t>
  </si>
  <si>
    <t>Flax Seed</t>
  </si>
  <si>
    <t>Mustered</t>
  </si>
  <si>
    <t>Finished Goods  -Flax(MT)</t>
  </si>
  <si>
    <t>Finished Goods  -Mustered(MT)</t>
  </si>
  <si>
    <t xml:space="preserve">Repairs &amp; Maintainence including  solar </t>
  </si>
  <si>
    <t>Flax seed</t>
  </si>
  <si>
    <t>Mustered Seed</t>
  </si>
  <si>
    <t>Profit after Appropriation</t>
  </si>
  <si>
    <r>
      <rPr>
        <b/>
        <i/>
        <sz val="15"/>
        <color theme="1"/>
        <rFont val="Calibri"/>
        <family val="2"/>
        <scheme val="minor"/>
      </rPr>
      <t xml:space="preserve">Note : </t>
    </r>
    <r>
      <rPr>
        <b/>
        <i/>
        <sz val="11"/>
        <color theme="1"/>
        <rFont val="Calibri"/>
        <family val="2"/>
        <scheme val="minor"/>
      </rPr>
      <t xml:space="preserve">As per Section 581ZI(1)  of Companies Act, 1956 - General Reserve and surplus- Every Producer Company shall maintain a general reserve in every financial year, in addition to any reserve maintained by it as may be specified in articles. </t>
    </r>
  </si>
  <si>
    <t>And as per Article of association of  farmer producer company shall set  aside certain amount of profits as may be decided by the Board as General Reserve, which shall be applied in the manner as may be from time to time decided by the Board.</t>
  </si>
  <si>
    <t>Investment</t>
  </si>
  <si>
    <t>Bank</t>
  </si>
  <si>
    <t>Self</t>
  </si>
  <si>
    <t>10.3 Quantity of Marketable Surplus Produce Considered for Trading Business ( Job Work)</t>
  </si>
  <si>
    <t>Okra</t>
  </si>
  <si>
    <t>Bitter Gourd</t>
  </si>
  <si>
    <t>Curliflower</t>
  </si>
  <si>
    <t>11.3 Quantity of Marketable Surplus Produce Considered for Trading Business</t>
  </si>
  <si>
    <t>Pomegranate Arils</t>
  </si>
  <si>
    <t>Pomegranate Juice</t>
  </si>
  <si>
    <t>Pomegranate Powder</t>
  </si>
  <si>
    <t>Pomegranate Arils 1 Kg</t>
  </si>
  <si>
    <t>Pomegranate Juice 1 Ltrs</t>
  </si>
  <si>
    <t>Pomegranate Peel Powder1 Kg</t>
  </si>
  <si>
    <t>Quiantals</t>
  </si>
  <si>
    <t>Ltrs</t>
  </si>
  <si>
    <t>Pomegatnte</t>
  </si>
  <si>
    <t>Other Consumbales</t>
  </si>
  <si>
    <t>Onion</t>
  </si>
  <si>
    <t>Potato</t>
  </si>
  <si>
    <t>Brinjal</t>
  </si>
  <si>
    <t>Custard Apple</t>
  </si>
  <si>
    <t>Guava</t>
  </si>
  <si>
    <t>Citrus</t>
  </si>
  <si>
    <t>Processing Unit - Oil Mill</t>
  </si>
  <si>
    <t>Machine Shed</t>
  </si>
  <si>
    <t>SQ mt</t>
  </si>
  <si>
    <t>Appropriation 35% for Investment reserve ( Distribution of Dividend and Bonus Shares)</t>
  </si>
  <si>
    <t xml:space="preserve">Oil Machine </t>
  </si>
  <si>
    <t>Automatic 4 head pouch Oil Filling Machine</t>
  </si>
  <si>
    <t>6MT</t>
  </si>
  <si>
    <t>Semi Automatic Screw Capping</t>
  </si>
  <si>
    <t>Automatic Bottlel labelling</t>
  </si>
  <si>
    <t>From fill seal machine</t>
  </si>
  <si>
    <t>Transformer</t>
  </si>
  <si>
    <t>200KVA</t>
  </si>
  <si>
    <t>Oil Milling</t>
  </si>
  <si>
    <t>0.5TPH</t>
  </si>
  <si>
    <t>Total Input (Safflower) (MT)</t>
  </si>
  <si>
    <t>Captive Operations Grade Output (safflower)(MT)</t>
  </si>
  <si>
    <t>safflower Oil</t>
  </si>
  <si>
    <t>Finished Goods safflower(MT)</t>
  </si>
  <si>
    <t>safflower</t>
  </si>
  <si>
    <t xml:space="preserve">Safflower Seed </t>
  </si>
  <si>
    <t>Total No.of Members  Cultivating Grains</t>
  </si>
  <si>
    <t>Total No.of Non-members  Cultivating Grains</t>
  </si>
  <si>
    <t>Total Cultivated Land Under Grains (Ha)</t>
  </si>
  <si>
    <t>Oil Milling Unit</t>
  </si>
  <si>
    <t>Cattle Feed Machine</t>
  </si>
  <si>
    <t>Captive Operations Grade Output (Cattle Feed)(MT)</t>
  </si>
  <si>
    <t>Cattle Feed</t>
  </si>
  <si>
    <t>Cleaning grading</t>
  </si>
  <si>
    <t>0.25TPH</t>
  </si>
  <si>
    <t>1TPH</t>
  </si>
  <si>
    <t xml:space="preserve">Cattle Feed </t>
  </si>
  <si>
    <t>Makka</t>
  </si>
  <si>
    <t>Other Required</t>
  </si>
  <si>
    <t>Feed Input  processed per day (MT)</t>
  </si>
  <si>
    <t>Total Working days of the Facilty Oil Mill</t>
  </si>
  <si>
    <t>Average Working Days of total Facility</t>
  </si>
  <si>
    <t>No of days of opertaion (Captive Operations) Cattle feed</t>
  </si>
  <si>
    <t>Corn</t>
  </si>
  <si>
    <t>Other Required Material for Cattle Feed</t>
  </si>
  <si>
    <t>Finished Goods  -Cattel Feed(MT)</t>
  </si>
  <si>
    <t>0.25 TPH</t>
  </si>
  <si>
    <t>Cleaning Machine for Oil Seeds</t>
  </si>
  <si>
    <t>Area Under Vegetables in Rabbi Season ( In Ha)</t>
  </si>
  <si>
    <t>Area Under Vegetables in Summer Season ( In Ha)</t>
  </si>
  <si>
    <t>Cleaning &amp; Grading Unit</t>
  </si>
  <si>
    <t>TPH</t>
  </si>
  <si>
    <t>Facility 2 - Grain Processing Unit - Cleaning Grading , Oil Mill &amp; cattle feed Unit</t>
  </si>
  <si>
    <t>Captive Operations Grade Output (Graded Corn)(MT)</t>
  </si>
  <si>
    <t>Grade I</t>
  </si>
  <si>
    <t>Grade II</t>
  </si>
  <si>
    <t>Seed  processed per day (MT) C&amp;G Unit</t>
  </si>
  <si>
    <t>Seed  processed per day (MT) Oil Mill</t>
  </si>
  <si>
    <t>Total Working days of the Facilty Cleaning &amp; Grading</t>
  </si>
  <si>
    <t>13.2 Facility 2 - Profit and loss of Grain Processing Unit - Cleaning Grading , Oil Mill &amp; cattle feed Unit</t>
  </si>
  <si>
    <t>Finished Goods  -Graded Corn(MT)</t>
  </si>
  <si>
    <t xml:space="preserve">Grade I </t>
  </si>
  <si>
    <t>30Kw (Power chart)</t>
  </si>
  <si>
    <t>1 TPH</t>
  </si>
  <si>
    <t xml:space="preserve">Flax </t>
  </si>
  <si>
    <t>Safflower</t>
  </si>
  <si>
    <t>Captive Operations Grade Output For Further Process (Oil Seed )(MT)</t>
  </si>
  <si>
    <t>This oil seed output from C&amp;G machine will  be transfer to Oil machine</t>
  </si>
  <si>
    <t xml:space="preserve">    </t>
  </si>
  <si>
    <t>Harvestor 12 Ft Cutter bar</t>
  </si>
  <si>
    <t>Qty</t>
  </si>
  <si>
    <t>100% capacity</t>
  </si>
  <si>
    <t>Charges per Acre</t>
  </si>
  <si>
    <t>Unit for charging rent</t>
  </si>
  <si>
    <t>Revenue (Rs. Per lakh)</t>
  </si>
  <si>
    <t>Machine</t>
  </si>
  <si>
    <t>(Acre)</t>
  </si>
  <si>
    <t>C.U.</t>
  </si>
  <si>
    <t>Harvester - Ashok Leyland 1.5/ Acre</t>
  </si>
  <si>
    <t>per Acre</t>
  </si>
  <si>
    <t>Harvestor Charges</t>
  </si>
  <si>
    <t>Facility 6 - Processing Unit - Oil Mill, Cleaning Grading &amp; Cattel Feed</t>
  </si>
  <si>
    <t>70% reserved for JW Services</t>
  </si>
  <si>
    <t>30% reserved for Captive operations</t>
  </si>
</sst>
</file>

<file path=xl/styles.xml><?xml version="1.0" encoding="utf-8"?>
<styleSheet xmlns="http://schemas.openxmlformats.org/spreadsheetml/2006/main" xmlns:mc="http://schemas.openxmlformats.org/markup-compatibility/2006" xmlns:x14ac="http://schemas.microsoft.com/office/spreadsheetml/2009/9/ac" mc:Ignorable="x14ac">
  <numFmts count="15">
    <numFmt numFmtId="43" formatCode="_ * #,##0.00_ ;_ * \-#,##0.00_ ;_ * &quot;-&quot;??_ ;_ @_ "/>
    <numFmt numFmtId="164" formatCode="_(* #,##0.00_);_(* \(#,##0.00\);_(* &quot;-&quot;??_);_(@_)"/>
    <numFmt numFmtId="165" formatCode="_-&quot;£&quot;* #,##0.00_-;\-&quot;£&quot;* #,##0.00_-;_-&quot;£&quot;* &quot;-&quot;??_-;_-@_-"/>
    <numFmt numFmtId="166" formatCode="_-* #,##0.00_-;\-* #,##0.00_-;_-* &quot;-&quot;??_-;_-@_-"/>
    <numFmt numFmtId="167" formatCode="&quot;Rs.&quot;\ #,##0.00;[Red]&quot;Rs.&quot;\ \-#,##0.00"/>
    <numFmt numFmtId="168" formatCode="_-* #,##0_-;\-* #,##0_-;_-* &quot;-&quot;??_-;_-@_-"/>
    <numFmt numFmtId="169" formatCode="_-&quot;Rs.&quot;* #,##0.00_-;\-&quot;Rs.&quot;* #,##0.00_-;_-&quot;Rs.&quot;* &quot;-&quot;??_-;_-@_-"/>
    <numFmt numFmtId="170" formatCode="_(* #,##0_);_(* \(#,##0\);_(* &quot;-&quot;??_);_(@_)"/>
    <numFmt numFmtId="171" formatCode="0.0%"/>
    <numFmt numFmtId="172" formatCode="_ * #,##0_ ;_ * \-#,##0_ ;_ * &quot;-&quot;??_ ;_ @_ "/>
    <numFmt numFmtId="173" formatCode="#,##0.00_ ;[Red]\-#,##0.00\ "/>
    <numFmt numFmtId="174" formatCode="_(* #,##0.0000_);_(* \(#,##0.0000\);_(* &quot;-&quot;??_);_(@_)"/>
    <numFmt numFmtId="175" formatCode="_ * #,##0.0_ ;_ * \-#,##0.0_ ;_ * &quot;-&quot;??_ ;_ @_ "/>
    <numFmt numFmtId="176" formatCode="0.0"/>
    <numFmt numFmtId="177" formatCode="_(* #,##0.000_);_(* \(#,##0.000\);_(* &quot;-&quot;??_);_(@_)"/>
  </numFmts>
  <fonts count="89">
    <font>
      <sz val="11"/>
      <color theme="1"/>
      <name val="Calibri"/>
      <family val="2"/>
      <scheme val="minor"/>
    </font>
    <font>
      <sz val="11"/>
      <color theme="1"/>
      <name val="Calibri"/>
      <family val="2"/>
      <scheme val="minor"/>
    </font>
    <font>
      <b/>
      <sz val="11"/>
      <color theme="1"/>
      <name val="Calibri"/>
      <family val="2"/>
      <scheme val="minor"/>
    </font>
    <font>
      <sz val="13"/>
      <color indexed="8"/>
      <name val="Times New Roman"/>
      <family val="1"/>
    </font>
    <font>
      <sz val="11"/>
      <color indexed="8"/>
      <name val="Times New Roman"/>
      <family val="1"/>
    </font>
    <font>
      <sz val="12"/>
      <name val="Times New Roman"/>
      <family val="1"/>
    </font>
    <font>
      <b/>
      <sz val="11"/>
      <color indexed="8"/>
      <name val="Times New Roman"/>
      <family val="1"/>
    </font>
    <font>
      <sz val="13"/>
      <name val="Times New Roman"/>
      <family val="1"/>
    </font>
    <font>
      <sz val="10"/>
      <name val="Arial"/>
      <family val="2"/>
    </font>
    <font>
      <b/>
      <sz val="16"/>
      <color theme="1"/>
      <name val="Calibri"/>
      <family val="2"/>
      <scheme val="minor"/>
    </font>
    <font>
      <sz val="12"/>
      <color indexed="8"/>
      <name val="Times New Roman"/>
      <family val="1"/>
    </font>
    <font>
      <b/>
      <sz val="11"/>
      <color rgb="FFFFFFFF"/>
      <name val="Garamond"/>
      <family val="1"/>
    </font>
    <font>
      <sz val="11"/>
      <color rgb="FF000000"/>
      <name val="Garamond"/>
      <family val="1"/>
    </font>
    <font>
      <b/>
      <sz val="11"/>
      <color rgb="FF000000"/>
      <name val="Garamond"/>
      <family val="1"/>
    </font>
    <font>
      <b/>
      <sz val="11"/>
      <name val="Calibri"/>
      <family val="2"/>
    </font>
    <font>
      <b/>
      <sz val="11"/>
      <name val="Calibri"/>
      <family val="2"/>
      <scheme val="minor"/>
    </font>
    <font>
      <u/>
      <sz val="10"/>
      <color indexed="12"/>
      <name val="Arial"/>
      <family val="2"/>
    </font>
    <font>
      <sz val="11"/>
      <name val="Calibri"/>
      <family val="2"/>
    </font>
    <font>
      <sz val="11"/>
      <color indexed="8"/>
      <name val="Calibri"/>
      <family val="2"/>
    </font>
    <font>
      <b/>
      <u/>
      <sz val="11"/>
      <color indexed="12"/>
      <name val="Calibri"/>
      <family val="2"/>
    </font>
    <font>
      <i/>
      <sz val="11"/>
      <color indexed="10"/>
      <name val="Calibri"/>
      <family val="2"/>
    </font>
    <font>
      <b/>
      <sz val="11"/>
      <color theme="0"/>
      <name val="Times New Roman"/>
      <family val="1"/>
    </font>
    <font>
      <sz val="12"/>
      <color theme="0"/>
      <name val="Times New Roman"/>
      <family val="1"/>
    </font>
    <font>
      <b/>
      <sz val="12"/>
      <color theme="0"/>
      <name val="Times New Roman"/>
      <family val="1"/>
    </font>
    <font>
      <sz val="11"/>
      <color theme="0"/>
      <name val="Times New Roman"/>
      <family val="1"/>
    </font>
    <font>
      <b/>
      <sz val="14"/>
      <color indexed="8"/>
      <name val="Times New Roman"/>
      <family val="1"/>
    </font>
    <font>
      <b/>
      <sz val="14"/>
      <color theme="1"/>
      <name val="Times New Roman"/>
      <family val="1"/>
    </font>
    <font>
      <sz val="11"/>
      <color theme="1"/>
      <name val="Times New Roman"/>
      <family val="1"/>
    </font>
    <font>
      <b/>
      <sz val="11"/>
      <color theme="1"/>
      <name val="Times New Roman"/>
      <family val="1"/>
    </font>
    <font>
      <sz val="11"/>
      <name val="Times New Roman"/>
      <family val="1"/>
    </font>
    <font>
      <b/>
      <sz val="11"/>
      <name val="Times New Roman"/>
      <family val="1"/>
    </font>
    <font>
      <b/>
      <sz val="11"/>
      <color indexed="56"/>
      <name val="Times New Roman"/>
      <family val="1"/>
    </font>
    <font>
      <b/>
      <u/>
      <sz val="11"/>
      <name val="Times New Roman"/>
      <family val="1"/>
    </font>
    <font>
      <sz val="11"/>
      <color indexed="17"/>
      <name val="Times New Roman"/>
      <family val="1"/>
    </font>
    <font>
      <b/>
      <u/>
      <sz val="11"/>
      <color indexed="60"/>
      <name val="Times New Roman"/>
      <family val="1"/>
    </font>
    <font>
      <sz val="11"/>
      <color indexed="60"/>
      <name val="Times New Roman"/>
      <family val="1"/>
    </font>
    <font>
      <b/>
      <sz val="11"/>
      <color indexed="60"/>
      <name val="Times New Roman"/>
      <family val="1"/>
    </font>
    <font>
      <b/>
      <sz val="14"/>
      <name val="Times New Roman"/>
      <family val="1"/>
    </font>
    <font>
      <b/>
      <u/>
      <sz val="11"/>
      <color indexed="8"/>
      <name val="Times New Roman"/>
      <family val="1"/>
    </font>
    <font>
      <b/>
      <i/>
      <sz val="11"/>
      <color indexed="8"/>
      <name val="Times New Roman"/>
      <family val="1"/>
    </font>
    <font>
      <b/>
      <sz val="11"/>
      <color rgb="FFFFFFFF"/>
      <name val="Times New Roman"/>
      <family val="1"/>
    </font>
    <font>
      <sz val="11"/>
      <color rgb="FF000000"/>
      <name val="Times New Roman"/>
      <family val="1"/>
    </font>
    <font>
      <b/>
      <sz val="11"/>
      <color rgb="FF000000"/>
      <name val="Times New Roman"/>
      <family val="1"/>
    </font>
    <font>
      <b/>
      <sz val="10"/>
      <color rgb="FFFFFFFF"/>
      <name val="Times New Roman"/>
      <family val="1"/>
    </font>
    <font>
      <sz val="10"/>
      <color rgb="FF000000"/>
      <name val="Times New Roman"/>
      <family val="1"/>
    </font>
    <font>
      <sz val="10"/>
      <color rgb="FF424142"/>
      <name val="Georgia"/>
      <family val="1"/>
    </font>
    <font>
      <b/>
      <sz val="11"/>
      <color rgb="FF272727"/>
      <name val="Garamond"/>
      <family val="1"/>
    </font>
    <font>
      <sz val="8"/>
      <color rgb="FF222222"/>
      <name val="Roboto"/>
    </font>
    <font>
      <b/>
      <sz val="11"/>
      <color rgb="FF222222"/>
      <name val="Garamond"/>
      <family val="1"/>
    </font>
    <font>
      <sz val="9"/>
      <name val="Arial"/>
      <family val="2"/>
    </font>
    <font>
      <b/>
      <sz val="9"/>
      <name val="Arial"/>
      <family val="2"/>
    </font>
    <font>
      <b/>
      <sz val="8"/>
      <name val="Inherit"/>
    </font>
    <font>
      <b/>
      <sz val="8"/>
      <color rgb="FF202124"/>
      <name val="Arial"/>
      <family val="2"/>
    </font>
    <font>
      <b/>
      <sz val="11"/>
      <color rgb="FF202124"/>
      <name val="Garamond"/>
      <family val="1"/>
    </font>
    <font>
      <b/>
      <sz val="11"/>
      <color theme="0"/>
      <name val="Calibri"/>
      <family val="2"/>
      <scheme val="minor"/>
    </font>
    <font>
      <b/>
      <sz val="11"/>
      <color rgb="FF202122"/>
      <name val="Garamond"/>
      <family val="1"/>
    </font>
    <font>
      <b/>
      <sz val="11"/>
      <name val="Garamond"/>
      <family val="1"/>
    </font>
    <font>
      <b/>
      <sz val="11"/>
      <color rgb="FF111111"/>
      <name val="Garamond"/>
      <family val="1"/>
    </font>
    <font>
      <sz val="11"/>
      <color theme="0"/>
      <name val="Calibri"/>
      <family val="2"/>
      <scheme val="minor"/>
    </font>
    <font>
      <b/>
      <sz val="10"/>
      <color rgb="FF000000"/>
      <name val="Times New Roman"/>
      <family val="1"/>
    </font>
    <font>
      <sz val="10"/>
      <color theme="1"/>
      <name val="Calibri"/>
      <family val="2"/>
      <scheme val="minor"/>
    </font>
    <font>
      <b/>
      <sz val="18"/>
      <color theme="1"/>
      <name val="Calibri"/>
      <family val="2"/>
      <scheme val="minor"/>
    </font>
    <font>
      <sz val="12"/>
      <color rgb="FFFF0000"/>
      <name val="Times New Roman"/>
      <family val="1"/>
    </font>
    <font>
      <b/>
      <u/>
      <sz val="18"/>
      <color theme="1"/>
      <name val="Calibri"/>
      <family val="2"/>
      <scheme val="minor"/>
    </font>
    <font>
      <sz val="11"/>
      <color rgb="FFC00000"/>
      <name val="Calibri"/>
      <family val="2"/>
      <scheme val="minor"/>
    </font>
    <font>
      <sz val="11"/>
      <name val="Calibri"/>
      <family val="2"/>
      <scheme val="minor"/>
    </font>
    <font>
      <b/>
      <sz val="11"/>
      <color rgb="FFC00000"/>
      <name val="Calibri"/>
      <family val="2"/>
      <scheme val="minor"/>
    </font>
    <font>
      <b/>
      <sz val="24"/>
      <color theme="1"/>
      <name val="Calibri"/>
      <family val="2"/>
      <scheme val="minor"/>
    </font>
    <font>
      <b/>
      <sz val="11"/>
      <color rgb="FF7030A0"/>
      <name val="Garamond"/>
      <family val="1"/>
    </font>
    <font>
      <sz val="11"/>
      <color theme="1"/>
      <name val="Garamond"/>
      <family val="1"/>
    </font>
    <font>
      <b/>
      <sz val="11"/>
      <color theme="1"/>
      <name val="Garamond"/>
      <family val="1"/>
    </font>
    <font>
      <b/>
      <sz val="11"/>
      <color theme="0"/>
      <name val="Garamond"/>
      <family val="1"/>
    </font>
    <font>
      <sz val="11"/>
      <name val="Garamond"/>
      <family val="1"/>
    </font>
    <font>
      <sz val="11"/>
      <color theme="0"/>
      <name val="Garamond"/>
      <family val="1"/>
    </font>
    <font>
      <b/>
      <sz val="11"/>
      <color theme="1" tint="4.9989318521683403E-2"/>
      <name val="Garamond"/>
      <family val="1"/>
    </font>
    <font>
      <b/>
      <sz val="12"/>
      <color theme="0"/>
      <name val="Garamond"/>
      <family val="1"/>
    </font>
    <font>
      <b/>
      <sz val="10"/>
      <color rgb="FF7030A0"/>
      <name val="Garamond"/>
      <family val="1"/>
    </font>
    <font>
      <sz val="10"/>
      <name val="Garamond"/>
      <family val="1"/>
    </font>
    <font>
      <b/>
      <sz val="10"/>
      <name val="Garamond"/>
      <family val="1"/>
    </font>
    <font>
      <b/>
      <sz val="10"/>
      <color theme="0"/>
      <name val="Garamond"/>
      <family val="1"/>
    </font>
    <font>
      <sz val="11"/>
      <color theme="1"/>
      <name val="Arial"/>
      <family val="2"/>
    </font>
    <font>
      <b/>
      <sz val="22"/>
      <color theme="0"/>
      <name val="Times New Roman"/>
      <family val="1"/>
    </font>
    <font>
      <b/>
      <sz val="22"/>
      <color theme="0"/>
      <name val="Calibri"/>
      <family val="2"/>
      <scheme val="minor"/>
    </font>
    <font>
      <b/>
      <sz val="20"/>
      <color theme="0"/>
      <name val="Calibri"/>
      <family val="2"/>
      <scheme val="minor"/>
    </font>
    <font>
      <b/>
      <sz val="14"/>
      <color theme="0"/>
      <name val="Calibri"/>
      <family val="2"/>
      <scheme val="minor"/>
    </font>
    <font>
      <b/>
      <sz val="15"/>
      <color theme="1"/>
      <name val="Verdana"/>
      <family val="2"/>
    </font>
    <font>
      <b/>
      <i/>
      <sz val="11"/>
      <color theme="1"/>
      <name val="Calibri"/>
      <family val="2"/>
      <scheme val="minor"/>
    </font>
    <font>
      <b/>
      <i/>
      <sz val="15"/>
      <color theme="1"/>
      <name val="Calibri"/>
      <family val="2"/>
      <scheme val="minor"/>
    </font>
    <font>
      <b/>
      <sz val="15"/>
      <color theme="3" tint="-0.249977111117893"/>
      <name val="Garamond"/>
      <family val="1"/>
    </font>
  </fonts>
  <fills count="18">
    <fill>
      <patternFill patternType="none"/>
    </fill>
    <fill>
      <patternFill patternType="gray125"/>
    </fill>
    <fill>
      <patternFill patternType="solid">
        <fgColor theme="2" tint="-0.749992370372631"/>
        <bgColor indexed="64"/>
      </patternFill>
    </fill>
    <fill>
      <patternFill patternType="solid">
        <fgColor indexed="15"/>
        <bgColor indexed="64"/>
      </patternFill>
    </fill>
    <fill>
      <patternFill patternType="solid">
        <fgColor theme="0"/>
        <bgColor indexed="64"/>
      </patternFill>
    </fill>
    <fill>
      <patternFill patternType="solid">
        <fgColor rgb="FF333300"/>
        <bgColor indexed="64"/>
      </patternFill>
    </fill>
    <fill>
      <patternFill patternType="solid">
        <fgColor rgb="FFFFFF00"/>
        <bgColor indexed="64"/>
      </patternFill>
    </fill>
    <fill>
      <patternFill patternType="solid">
        <fgColor rgb="FF92D050"/>
        <bgColor indexed="64"/>
      </patternFill>
    </fill>
    <fill>
      <patternFill patternType="solid">
        <fgColor theme="9" tint="0.39997558519241921"/>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theme="5" tint="0.79998168889431442"/>
        <bgColor indexed="64"/>
      </patternFill>
    </fill>
    <fill>
      <patternFill patternType="solid">
        <fgColor rgb="FF7030A0"/>
        <bgColor indexed="64"/>
      </patternFill>
    </fill>
    <fill>
      <patternFill patternType="solid">
        <fgColor rgb="FF00B0F0"/>
        <bgColor indexed="64"/>
      </patternFill>
    </fill>
    <fill>
      <patternFill patternType="solid">
        <fgColor theme="1" tint="0.249977111117893"/>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5A2781"/>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medium">
        <color indexed="64"/>
      </left>
      <right style="thin">
        <color indexed="64"/>
      </right>
      <top/>
      <bottom style="thin">
        <color indexed="64"/>
      </bottom>
      <diagonal/>
    </border>
    <border>
      <left/>
      <right style="medium">
        <color indexed="64"/>
      </right>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bottom/>
      <diagonal/>
    </border>
    <border>
      <left/>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s>
  <cellStyleXfs count="11">
    <xf numFmtId="0" fontId="0" fillId="0" borderId="0"/>
    <xf numFmtId="9" fontId="1" fillId="0" borderId="0" applyFont="0" applyFill="0" applyBorder="0" applyAlignment="0" applyProtection="0"/>
    <xf numFmtId="164" fontId="1" fillId="0" borderId="0" applyFont="0" applyFill="0" applyBorder="0" applyAlignment="0" applyProtection="0"/>
    <xf numFmtId="166" fontId="1" fillId="0" borderId="0" applyFont="0" applyFill="0" applyBorder="0" applyAlignment="0" applyProtection="0"/>
    <xf numFmtId="166" fontId="8" fillId="0" borderId="0" applyFont="0" applyFill="0" applyBorder="0" applyAlignment="0" applyProtection="0"/>
    <xf numFmtId="169" fontId="8" fillId="0" borderId="0" applyFont="0" applyFill="0" applyBorder="0" applyAlignment="0" applyProtection="0"/>
    <xf numFmtId="0" fontId="8" fillId="0" borderId="0"/>
    <xf numFmtId="9" fontId="8" fillId="0" borderId="0" applyFont="0" applyFill="0" applyBorder="0" applyAlignment="0" applyProtection="0"/>
    <xf numFmtId="0" fontId="16" fillId="0" borderId="0" applyNumberFormat="0" applyFill="0" applyBorder="0" applyAlignment="0" applyProtection="0">
      <alignment vertical="top"/>
      <protection locked="0"/>
    </xf>
    <xf numFmtId="165" fontId="1" fillId="0" borderId="0" applyFont="0" applyFill="0" applyBorder="0" applyAlignment="0" applyProtection="0"/>
    <xf numFmtId="43" fontId="18" fillId="0" borderId="0" applyFont="0" applyFill="0" applyBorder="0" applyAlignment="0" applyProtection="0"/>
  </cellStyleXfs>
  <cellXfs count="780">
    <xf numFmtId="0" fontId="0" fillId="0" borderId="0" xfId="0"/>
    <xf numFmtId="2" fontId="0" fillId="0" borderId="0" xfId="0" applyNumberFormat="1"/>
    <xf numFmtId="0" fontId="2" fillId="0" borderId="1" xfId="0" applyFont="1" applyBorder="1"/>
    <xf numFmtId="9" fontId="0" fillId="0" borderId="0" xfId="1" applyFont="1"/>
    <xf numFmtId="9" fontId="0" fillId="0" borderId="0" xfId="0" applyNumberFormat="1"/>
    <xf numFmtId="0" fontId="2" fillId="0" borderId="0" xfId="0" applyFont="1"/>
    <xf numFmtId="10" fontId="0" fillId="0" borderId="0" xfId="0" applyNumberFormat="1"/>
    <xf numFmtId="0" fontId="0" fillId="0" borderId="0" xfId="0" applyFont="1"/>
    <xf numFmtId="0" fontId="3" fillId="0" borderId="0" xfId="0" applyFont="1"/>
    <xf numFmtId="0" fontId="4" fillId="0" borderId="0" xfId="0" applyFont="1" applyBorder="1"/>
    <xf numFmtId="0" fontId="0" fillId="0" borderId="1" xfId="0" applyBorder="1"/>
    <xf numFmtId="0" fontId="7" fillId="0" borderId="1" xfId="0" applyFont="1" applyBorder="1"/>
    <xf numFmtId="0" fontId="7" fillId="0" borderId="0" xfId="0" applyFont="1"/>
    <xf numFmtId="0" fontId="0" fillId="0" borderId="0" xfId="0" applyFill="1"/>
    <xf numFmtId="0" fontId="2" fillId="0" borderId="0" xfId="0" applyFont="1" applyAlignment="1">
      <alignment horizontal="center"/>
    </xf>
    <xf numFmtId="0" fontId="0" fillId="0" borderId="0" xfId="0" applyBorder="1" applyAlignment="1">
      <alignment horizontal="center"/>
    </xf>
    <xf numFmtId="0" fontId="2" fillId="0" borderId="0" xfId="0" applyFont="1" applyBorder="1" applyAlignment="1">
      <alignment horizontal="center"/>
    </xf>
    <xf numFmtId="4" fontId="0" fillId="0" borderId="0" xfId="0" applyNumberFormat="1"/>
    <xf numFmtId="166" fontId="0" fillId="0" borderId="0" xfId="0" applyNumberFormat="1"/>
    <xf numFmtId="0" fontId="0" fillId="0" borderId="0" xfId="0" applyAlignment="1">
      <alignment horizontal="center"/>
    </xf>
    <xf numFmtId="166" fontId="0" fillId="0" borderId="0" xfId="3" applyFont="1"/>
    <xf numFmtId="168" fontId="13" fillId="0" borderId="1" xfId="3" applyNumberFormat="1" applyFont="1" applyBorder="1" applyAlignment="1">
      <alignment horizontal="right" vertical="center" wrapText="1"/>
    </xf>
    <xf numFmtId="0" fontId="11" fillId="2" borderId="1" xfId="0" applyFont="1" applyFill="1" applyBorder="1" applyAlignment="1">
      <alignment vertical="center" wrapText="1"/>
    </xf>
    <xf numFmtId="0" fontId="0" fillId="0" borderId="1" xfId="0" applyFont="1" applyFill="1" applyBorder="1"/>
    <xf numFmtId="0" fontId="0" fillId="0" borderId="1" xfId="0" applyFont="1" applyBorder="1"/>
    <xf numFmtId="0" fontId="2" fillId="0" borderId="0" xfId="0" applyFont="1" applyFill="1"/>
    <xf numFmtId="0" fontId="14" fillId="0" borderId="0" xfId="0" applyFont="1" applyFill="1" applyBorder="1"/>
    <xf numFmtId="43" fontId="0" fillId="0" borderId="0" xfId="0" applyNumberFormat="1"/>
    <xf numFmtId="0" fontId="2" fillId="0" borderId="0" xfId="0" applyFont="1" applyAlignment="1">
      <alignment horizontal="center"/>
    </xf>
    <xf numFmtId="0" fontId="2" fillId="0" borderId="0" xfId="0" applyFont="1" applyAlignment="1">
      <alignment horizontal="center"/>
    </xf>
    <xf numFmtId="168" fontId="17" fillId="0" borderId="0" xfId="0" applyNumberFormat="1" applyFont="1" applyFill="1" applyBorder="1"/>
    <xf numFmtId="38" fontId="14" fillId="0" borderId="0" xfId="0" applyNumberFormat="1" applyFont="1" applyFill="1" applyBorder="1" applyAlignment="1">
      <alignment horizontal="left"/>
    </xf>
    <xf numFmtId="0" fontId="17" fillId="0" borderId="0" xfId="0" applyFont="1" applyFill="1" applyBorder="1"/>
    <xf numFmtId="0" fontId="19" fillId="0" borderId="0" xfId="8" applyFont="1" applyFill="1" applyBorder="1" applyAlignment="1" applyProtection="1"/>
    <xf numFmtId="173" fontId="14" fillId="0" borderId="0" xfId="9" applyNumberFormat="1" applyFont="1" applyFill="1" applyBorder="1" applyAlignment="1">
      <alignment vertical="center"/>
    </xf>
    <xf numFmtId="168" fontId="17" fillId="0" borderId="0" xfId="3" applyNumberFormat="1" applyFont="1" applyFill="1" applyBorder="1"/>
    <xf numFmtId="0" fontId="6" fillId="0" borderId="1" xfId="0" applyFont="1" applyFill="1" applyBorder="1" applyAlignment="1">
      <alignment wrapText="1"/>
    </xf>
    <xf numFmtId="170" fontId="4" fillId="0" borderId="1" xfId="3" applyNumberFormat="1" applyFont="1" applyFill="1" applyBorder="1" applyAlignment="1">
      <alignment wrapText="1"/>
    </xf>
    <xf numFmtId="0" fontId="4" fillId="0" borderId="1" xfId="0" applyFont="1" applyFill="1" applyBorder="1" applyAlignment="1">
      <alignment horizontal="left" wrapText="1"/>
    </xf>
    <xf numFmtId="0" fontId="4" fillId="0" borderId="1" xfId="0" applyFont="1" applyFill="1" applyBorder="1" applyAlignment="1">
      <alignment wrapText="1"/>
    </xf>
    <xf numFmtId="0" fontId="4" fillId="0" borderId="1" xfId="0" applyFont="1" applyFill="1" applyBorder="1" applyAlignment="1">
      <alignment horizontal="right" wrapText="1"/>
    </xf>
    <xf numFmtId="0" fontId="4" fillId="0" borderId="1" xfId="0" applyFont="1" applyFill="1" applyBorder="1" applyAlignment="1">
      <alignment vertical="center" wrapText="1"/>
    </xf>
    <xf numFmtId="0" fontId="6" fillId="0" borderId="1" xfId="0" applyFont="1" applyFill="1" applyBorder="1" applyAlignment="1">
      <alignment horizontal="right" wrapText="1"/>
    </xf>
    <xf numFmtId="0" fontId="6" fillId="0" borderId="1" xfId="0" applyFont="1" applyFill="1" applyBorder="1" applyAlignment="1">
      <alignment horizontal="left" wrapText="1"/>
    </xf>
    <xf numFmtId="0" fontId="17" fillId="0" borderId="0" xfId="0" applyFont="1" applyBorder="1" applyAlignment="1">
      <alignment vertical="center"/>
    </xf>
    <xf numFmtId="0" fontId="17" fillId="0" borderId="0" xfId="0" applyFont="1" applyFill="1" applyBorder="1" applyAlignment="1">
      <alignment vertical="center"/>
    </xf>
    <xf numFmtId="0" fontId="14" fillId="0" borderId="0" xfId="0" applyFont="1" applyBorder="1" applyAlignment="1">
      <alignment vertical="center"/>
    </xf>
    <xf numFmtId="4" fontId="17" fillId="0" borderId="0" xfId="0" applyNumberFormat="1" applyFont="1" applyBorder="1" applyAlignment="1">
      <alignment vertical="center"/>
    </xf>
    <xf numFmtId="0" fontId="11" fillId="2" borderId="1" xfId="0" applyFont="1" applyFill="1" applyBorder="1" applyAlignment="1">
      <alignment horizontal="center" vertical="center" wrapText="1"/>
    </xf>
    <xf numFmtId="0" fontId="21" fillId="2" borderId="1" xfId="0" applyFont="1" applyFill="1" applyBorder="1" applyAlignment="1">
      <alignment wrapText="1"/>
    </xf>
    <xf numFmtId="0" fontId="21" fillId="2" borderId="1" xfId="0" applyFont="1" applyFill="1" applyBorder="1" applyAlignment="1">
      <alignment horizontal="center" wrapText="1"/>
    </xf>
    <xf numFmtId="0" fontId="11" fillId="2" borderId="1" xfId="0" applyFont="1" applyFill="1" applyBorder="1" applyAlignment="1">
      <alignment horizontal="center" vertical="center" wrapText="1"/>
    </xf>
    <xf numFmtId="0" fontId="2" fillId="0" borderId="0" xfId="0" applyFont="1" applyAlignment="1">
      <alignment horizontal="center"/>
    </xf>
    <xf numFmtId="2" fontId="2" fillId="0" borderId="0" xfId="0" applyNumberFormat="1" applyFont="1"/>
    <xf numFmtId="0" fontId="17" fillId="0" borderId="0" xfId="0" applyFont="1"/>
    <xf numFmtId="168" fontId="14" fillId="0" borderId="0" xfId="0" applyNumberFormat="1" applyFont="1"/>
    <xf numFmtId="170" fontId="0" fillId="0" borderId="0" xfId="0" applyNumberFormat="1"/>
    <xf numFmtId="3" fontId="17" fillId="0" borderId="0" xfId="0" applyNumberFormat="1" applyFont="1" applyBorder="1" applyAlignment="1">
      <alignment vertical="center"/>
    </xf>
    <xf numFmtId="0" fontId="10" fillId="0" borderId="1" xfId="0" applyFont="1" applyBorder="1" applyAlignment="1">
      <alignment horizontal="center"/>
    </xf>
    <xf numFmtId="0" fontId="5" fillId="0" borderId="1" xfId="0" applyFont="1" applyFill="1" applyBorder="1" applyAlignment="1">
      <alignment horizontal="center"/>
    </xf>
    <xf numFmtId="0" fontId="23" fillId="5" borderId="1" xfId="0" applyFont="1" applyFill="1" applyBorder="1" applyAlignment="1">
      <alignment horizontal="center"/>
    </xf>
    <xf numFmtId="0" fontId="4" fillId="0" borderId="1" xfId="0" applyFont="1" applyFill="1" applyBorder="1"/>
    <xf numFmtId="43" fontId="4" fillId="0" borderId="1" xfId="10" applyFont="1" applyFill="1" applyBorder="1"/>
    <xf numFmtId="172" fontId="4" fillId="0" borderId="1" xfId="10" applyNumberFormat="1" applyFont="1" applyFill="1" applyBorder="1"/>
    <xf numFmtId="0" fontId="6" fillId="0" borderId="1" xfId="0" applyFont="1" applyFill="1" applyBorder="1"/>
    <xf numFmtId="164" fontId="6" fillId="0" borderId="1" xfId="10" applyNumberFormat="1" applyFont="1" applyFill="1" applyBorder="1"/>
    <xf numFmtId="0" fontId="4" fillId="0" borderId="0" xfId="0" applyFont="1" applyFill="1"/>
    <xf numFmtId="172" fontId="4" fillId="0" borderId="0" xfId="10" applyNumberFormat="1" applyFont="1" applyFill="1"/>
    <xf numFmtId="175" fontId="4" fillId="0" borderId="1" xfId="10" applyNumberFormat="1" applyFont="1" applyFill="1" applyBorder="1"/>
    <xf numFmtId="0" fontId="21" fillId="5" borderId="1" xfId="0" applyFont="1" applyFill="1" applyBorder="1"/>
    <xf numFmtId="0" fontId="21" fillId="5" borderId="1" xfId="0" applyFont="1" applyFill="1" applyBorder="1" applyAlignment="1">
      <alignment horizontal="center"/>
    </xf>
    <xf numFmtId="0" fontId="2" fillId="0" borderId="0" xfId="0" applyFont="1" applyBorder="1" applyAlignment="1"/>
    <xf numFmtId="0" fontId="20" fillId="0" borderId="0" xfId="0" applyFont="1" applyBorder="1" applyAlignment="1">
      <alignment vertical="center"/>
    </xf>
    <xf numFmtId="0" fontId="24" fillId="5" borderId="1" xfId="0" applyFont="1" applyFill="1" applyBorder="1" applyAlignment="1">
      <alignment horizontal="left"/>
    </xf>
    <xf numFmtId="0" fontId="22" fillId="5" borderId="1" xfId="0" applyFont="1" applyFill="1" applyBorder="1" applyAlignment="1">
      <alignment horizontal="center"/>
    </xf>
    <xf numFmtId="0" fontId="4" fillId="0" borderId="1" xfId="0" applyFont="1" applyBorder="1"/>
    <xf numFmtId="4" fontId="4" fillId="0" borderId="1" xfId="0" applyNumberFormat="1" applyFont="1" applyBorder="1"/>
    <xf numFmtId="0" fontId="6" fillId="0" borderId="1" xfId="0" applyFont="1" applyBorder="1"/>
    <xf numFmtId="174" fontId="4" fillId="0" borderId="1" xfId="2" applyNumberFormat="1" applyFont="1" applyBorder="1"/>
    <xf numFmtId="0" fontId="27" fillId="0" borderId="0" xfId="0" applyFont="1"/>
    <xf numFmtId="0" fontId="27" fillId="0" borderId="1" xfId="0" applyFont="1" applyBorder="1"/>
    <xf numFmtId="170" fontId="27" fillId="0" borderId="1" xfId="2" applyNumberFormat="1" applyFont="1" applyBorder="1"/>
    <xf numFmtId="0" fontId="28" fillId="0" borderId="1" xfId="0" applyFont="1" applyBorder="1"/>
    <xf numFmtId="170" fontId="28" fillId="0" borderId="1" xfId="0" applyNumberFormat="1" applyFont="1" applyBorder="1"/>
    <xf numFmtId="0" fontId="27" fillId="0" borderId="1" xfId="0" applyFont="1" applyFill="1" applyBorder="1"/>
    <xf numFmtId="170" fontId="28" fillId="0" borderId="1" xfId="2" applyNumberFormat="1" applyFont="1" applyBorder="1" applyAlignment="1"/>
    <xf numFmtId="0" fontId="28" fillId="0" borderId="1" xfId="0" applyFont="1" applyFill="1" applyBorder="1"/>
    <xf numFmtId="2" fontId="28" fillId="0" borderId="1" xfId="0" applyNumberFormat="1" applyFont="1" applyBorder="1"/>
    <xf numFmtId="2" fontId="27" fillId="0" borderId="0" xfId="0" applyNumberFormat="1" applyFont="1"/>
    <xf numFmtId="0" fontId="24" fillId="5" borderId="1" xfId="0" applyFont="1" applyFill="1" applyBorder="1" applyAlignment="1">
      <alignment horizontal="center"/>
    </xf>
    <xf numFmtId="0" fontId="4" fillId="0" borderId="1" xfId="0" applyFont="1" applyBorder="1" applyAlignment="1">
      <alignment horizontal="center"/>
    </xf>
    <xf numFmtId="0" fontId="29" fillId="0" borderId="1" xfId="0" applyFont="1" applyFill="1" applyBorder="1" applyAlignment="1">
      <alignment horizontal="center"/>
    </xf>
    <xf numFmtId="0" fontId="27" fillId="0" borderId="1" xfId="0" applyFont="1" applyBorder="1" applyAlignment="1">
      <alignment wrapText="1"/>
    </xf>
    <xf numFmtId="2" fontId="27" fillId="0" borderId="1" xfId="0" applyNumberFormat="1" applyFont="1" applyBorder="1"/>
    <xf numFmtId="164" fontId="27" fillId="0" borderId="0" xfId="0" applyNumberFormat="1" applyFont="1"/>
    <xf numFmtId="170" fontId="27" fillId="0" borderId="0" xfId="2" applyNumberFormat="1" applyFont="1"/>
    <xf numFmtId="0" fontId="24" fillId="5" borderId="1" xfId="0" applyFont="1" applyFill="1" applyBorder="1"/>
    <xf numFmtId="9" fontId="27" fillId="0" borderId="1" xfId="1" applyFont="1" applyBorder="1"/>
    <xf numFmtId="170" fontId="28" fillId="0" borderId="1" xfId="2" applyNumberFormat="1" applyFont="1" applyBorder="1"/>
    <xf numFmtId="0" fontId="28" fillId="0" borderId="0" xfId="0" applyFont="1"/>
    <xf numFmtId="10" fontId="28" fillId="0" borderId="0" xfId="1" applyNumberFormat="1" applyFont="1"/>
    <xf numFmtId="0" fontId="21" fillId="2" borderId="18" xfId="0" applyFont="1" applyFill="1" applyBorder="1" applyAlignment="1">
      <alignment vertical="center"/>
    </xf>
    <xf numFmtId="0" fontId="21" fillId="2" borderId="14" xfId="0" applyFont="1" applyFill="1" applyBorder="1" applyAlignment="1">
      <alignment horizontal="center"/>
    </xf>
    <xf numFmtId="0" fontId="21" fillId="2" borderId="1" xfId="0" applyFont="1" applyFill="1" applyBorder="1" applyAlignment="1">
      <alignment horizontal="center"/>
    </xf>
    <xf numFmtId="0" fontId="29" fillId="0" borderId="5" xfId="0" applyFont="1" applyFill="1" applyBorder="1" applyAlignment="1">
      <alignment vertical="center"/>
    </xf>
    <xf numFmtId="37" fontId="30" fillId="0" borderId="1" xfId="3" applyNumberFormat="1" applyFont="1" applyFill="1" applyBorder="1" applyAlignment="1">
      <alignment vertical="center"/>
    </xf>
    <xf numFmtId="3" fontId="31" fillId="0" borderId="1" xfId="9" applyNumberFormat="1" applyFont="1" applyFill="1" applyBorder="1" applyAlignment="1">
      <alignment horizontal="right" vertical="center"/>
    </xf>
    <xf numFmtId="0" fontId="32" fillId="0" borderId="5" xfId="0" applyFont="1" applyFill="1" applyBorder="1" applyAlignment="1">
      <alignment vertical="center"/>
    </xf>
    <xf numFmtId="4" fontId="29" fillId="0" borderId="1" xfId="3" applyNumberFormat="1" applyFont="1" applyFill="1" applyBorder="1" applyAlignment="1">
      <alignment vertical="center"/>
    </xf>
    <xf numFmtId="0" fontId="30" fillId="0" borderId="5" xfId="0" applyFont="1" applyFill="1" applyBorder="1" applyAlignment="1">
      <alignment horizontal="left" vertical="center"/>
    </xf>
    <xf numFmtId="4" fontId="33" fillId="0" borderId="1" xfId="3" applyNumberFormat="1" applyFont="1" applyFill="1" applyBorder="1" applyAlignment="1">
      <alignment vertical="center"/>
    </xf>
    <xf numFmtId="0" fontId="30" fillId="0" borderId="5" xfId="0" applyFont="1" applyFill="1" applyBorder="1" applyAlignment="1">
      <alignment horizontal="left" vertical="center" indent="1"/>
    </xf>
    <xf numFmtId="0" fontId="29" fillId="0" borderId="5" xfId="0" applyFont="1" applyFill="1" applyBorder="1" applyAlignment="1">
      <alignment horizontal="left" vertical="center" indent="1"/>
    </xf>
    <xf numFmtId="0" fontId="29" fillId="0" borderId="5" xfId="0" applyFont="1" applyFill="1" applyBorder="1" applyAlignment="1">
      <alignment horizontal="left" vertical="center"/>
    </xf>
    <xf numFmtId="0" fontId="30" fillId="0" borderId="5" xfId="0" applyFont="1" applyFill="1" applyBorder="1" applyAlignment="1">
      <alignment vertical="center"/>
    </xf>
    <xf numFmtId="0" fontId="6" fillId="0" borderId="5" xfId="0" applyFont="1" applyFill="1" applyBorder="1" applyAlignment="1">
      <alignment vertical="center"/>
    </xf>
    <xf numFmtId="4" fontId="29" fillId="0" borderId="1" xfId="0" applyNumberFormat="1" applyFont="1" applyFill="1" applyBorder="1" applyAlignment="1">
      <alignment vertical="center"/>
    </xf>
    <xf numFmtId="0" fontId="34" fillId="0" borderId="5" xfId="0" applyFont="1" applyFill="1" applyBorder="1" applyAlignment="1">
      <alignment vertical="center"/>
    </xf>
    <xf numFmtId="4" fontId="35" fillId="0" borderId="1" xfId="0" applyNumberFormat="1" applyFont="1" applyFill="1" applyBorder="1" applyAlignment="1">
      <alignment vertical="center"/>
    </xf>
    <xf numFmtId="0" fontId="36" fillId="0" borderId="5" xfId="0" applyFont="1" applyFill="1" applyBorder="1" applyAlignment="1">
      <alignment vertical="center"/>
    </xf>
    <xf numFmtId="4" fontId="36" fillId="0" borderId="1" xfId="9" applyNumberFormat="1" applyFont="1" applyFill="1" applyBorder="1" applyAlignment="1">
      <alignment vertical="center"/>
    </xf>
    <xf numFmtId="0" fontId="36" fillId="0" borderId="6" xfId="0" applyFont="1" applyFill="1" applyBorder="1" applyAlignment="1">
      <alignment vertical="center"/>
    </xf>
    <xf numFmtId="4" fontId="36" fillId="0" borderId="7" xfId="0" applyNumberFormat="1" applyFont="1" applyFill="1" applyBorder="1" applyAlignment="1">
      <alignment vertical="center"/>
    </xf>
    <xf numFmtId="0" fontId="21" fillId="2" borderId="1" xfId="0" applyFont="1" applyFill="1" applyBorder="1"/>
    <xf numFmtId="0" fontId="15" fillId="0" borderId="0" xfId="6" applyFont="1" applyFill="1" applyBorder="1" applyAlignment="1">
      <alignment horizontal="center"/>
    </xf>
    <xf numFmtId="0" fontId="15" fillId="0" borderId="0" xfId="6" applyFont="1" applyFill="1" applyBorder="1" applyAlignment="1"/>
    <xf numFmtId="0" fontId="21" fillId="5" borderId="1" xfId="0" applyFont="1" applyFill="1" applyBorder="1" applyAlignment="1">
      <alignment vertical="center"/>
    </xf>
    <xf numFmtId="0" fontId="21" fillId="5" borderId="1" xfId="0" applyFont="1" applyFill="1" applyBorder="1" applyAlignment="1">
      <alignment horizontal="center" vertical="center"/>
    </xf>
    <xf numFmtId="0" fontId="30" fillId="0" borderId="1" xfId="0" applyFont="1" applyBorder="1" applyAlignment="1">
      <alignment vertical="center"/>
    </xf>
    <xf numFmtId="0" fontId="30" fillId="0" borderId="1" xfId="0" applyFont="1" applyBorder="1" applyAlignment="1">
      <alignment horizontal="center" vertical="center"/>
    </xf>
    <xf numFmtId="0" fontId="30" fillId="0" borderId="1" xfId="0" applyFont="1" applyBorder="1"/>
    <xf numFmtId="0" fontId="29" fillId="0" borderId="1" xfId="0" applyFont="1" applyBorder="1"/>
    <xf numFmtId="0" fontId="6" fillId="2" borderId="1" xfId="0" applyFont="1" applyFill="1" applyBorder="1"/>
    <xf numFmtId="0" fontId="38" fillId="0" borderId="1" xfId="0" applyFont="1" applyFill="1" applyBorder="1"/>
    <xf numFmtId="0" fontId="27" fillId="0" borderId="1" xfId="0" applyFont="1" applyFill="1" applyBorder="1" applyAlignment="1">
      <alignment horizontal="left"/>
    </xf>
    <xf numFmtId="0" fontId="6" fillId="0" borderId="1" xfId="0" applyFont="1" applyFill="1" applyBorder="1" applyAlignment="1">
      <alignment horizontal="left"/>
    </xf>
    <xf numFmtId="0" fontId="21" fillId="2" borderId="1" xfId="8" applyFont="1" applyFill="1" applyBorder="1" applyAlignment="1" applyProtection="1"/>
    <xf numFmtId="0" fontId="6" fillId="0" borderId="1" xfId="0" applyFont="1" applyFill="1" applyBorder="1" applyAlignment="1">
      <alignment horizontal="center"/>
    </xf>
    <xf numFmtId="0" fontId="27" fillId="0" borderId="0" xfId="0" applyFont="1" applyAlignment="1">
      <alignment horizontal="left"/>
    </xf>
    <xf numFmtId="0" fontId="6" fillId="3" borderId="0" xfId="0" applyFont="1" applyFill="1" applyBorder="1" applyAlignment="1">
      <alignment horizontal="left" wrapText="1"/>
    </xf>
    <xf numFmtId="0" fontId="6" fillId="0" borderId="0" xfId="0" applyFont="1" applyFill="1" applyBorder="1" applyAlignment="1">
      <alignment horizontal="center"/>
    </xf>
    <xf numFmtId="0" fontId="6" fillId="0" borderId="0" xfId="0" applyFont="1" applyFill="1" applyBorder="1" applyAlignment="1">
      <alignment wrapText="1"/>
    </xf>
    <xf numFmtId="10" fontId="27" fillId="0" borderId="0" xfId="0" applyNumberFormat="1" applyFont="1" applyBorder="1"/>
    <xf numFmtId="0" fontId="27" fillId="0" borderId="0" xfId="0" applyFont="1" applyFill="1" applyBorder="1" applyAlignment="1">
      <alignment wrapText="1"/>
    </xf>
    <xf numFmtId="9" fontId="27" fillId="0" borderId="0" xfId="0" applyNumberFormat="1" applyFont="1"/>
    <xf numFmtId="10" fontId="4" fillId="0" borderId="0" xfId="1" applyNumberFormat="1" applyFont="1" applyBorder="1"/>
    <xf numFmtId="9" fontId="27" fillId="0" borderId="0" xfId="0" applyNumberFormat="1" applyFont="1" applyBorder="1"/>
    <xf numFmtId="10" fontId="27" fillId="0" borderId="0" xfId="0" applyNumberFormat="1" applyFont="1"/>
    <xf numFmtId="166" fontId="27" fillId="0" borderId="0" xfId="0" applyNumberFormat="1" applyFont="1" applyBorder="1"/>
    <xf numFmtId="0" fontId="27" fillId="0" borderId="0" xfId="0" applyFont="1" applyBorder="1"/>
    <xf numFmtId="0" fontId="27" fillId="0" borderId="0" xfId="0" applyFont="1" applyFill="1" applyBorder="1"/>
    <xf numFmtId="43" fontId="27" fillId="0" borderId="0" xfId="0" applyNumberFormat="1" applyFont="1" applyBorder="1"/>
    <xf numFmtId="1" fontId="27" fillId="0" borderId="0" xfId="0" applyNumberFormat="1" applyFont="1" applyBorder="1"/>
    <xf numFmtId="9" fontId="27" fillId="0" borderId="1" xfId="0" applyNumberFormat="1" applyFont="1" applyBorder="1"/>
    <xf numFmtId="43" fontId="27" fillId="0" borderId="1" xfId="0" applyNumberFormat="1" applyFont="1" applyBorder="1"/>
    <xf numFmtId="0" fontId="28" fillId="0" borderId="0" xfId="0" applyFont="1" applyAlignment="1">
      <alignment horizontal="center"/>
    </xf>
    <xf numFmtId="9" fontId="28" fillId="0" borderId="0" xfId="0" applyNumberFormat="1" applyFont="1" applyAlignment="1">
      <alignment horizontal="center"/>
    </xf>
    <xf numFmtId="10" fontId="28" fillId="0" borderId="0" xfId="0" applyNumberFormat="1" applyFont="1" applyAlignment="1">
      <alignment horizontal="center"/>
    </xf>
    <xf numFmtId="170" fontId="27" fillId="0" borderId="1" xfId="2" applyNumberFormat="1" applyFont="1" applyFill="1" applyBorder="1"/>
    <xf numFmtId="0" fontId="28" fillId="0" borderId="1" xfId="0" applyFont="1" applyBorder="1" applyAlignment="1">
      <alignment wrapText="1"/>
    </xf>
    <xf numFmtId="0" fontId="28" fillId="0" borderId="0" xfId="0" applyFont="1" applyBorder="1" applyAlignment="1">
      <alignment horizontal="center"/>
    </xf>
    <xf numFmtId="9" fontId="28" fillId="0" borderId="0" xfId="0" applyNumberFormat="1" applyFont="1" applyBorder="1" applyAlignment="1">
      <alignment horizontal="center"/>
    </xf>
    <xf numFmtId="10" fontId="28" fillId="0" borderId="0" xfId="0" applyNumberFormat="1" applyFont="1" applyBorder="1" applyAlignment="1">
      <alignment horizontal="center"/>
    </xf>
    <xf numFmtId="168" fontId="27" fillId="0" borderId="1" xfId="0" applyNumberFormat="1" applyFont="1" applyBorder="1"/>
    <xf numFmtId="168" fontId="28" fillId="0" borderId="1" xfId="3" applyNumberFormat="1" applyFont="1" applyBorder="1"/>
    <xf numFmtId="168" fontId="28" fillId="0" borderId="1" xfId="0" applyNumberFormat="1" applyFont="1" applyBorder="1"/>
    <xf numFmtId="170" fontId="27" fillId="0" borderId="1" xfId="0" applyNumberFormat="1" applyFont="1" applyBorder="1"/>
    <xf numFmtId="43" fontId="27" fillId="0" borderId="0" xfId="0" applyNumberFormat="1" applyFont="1"/>
    <xf numFmtId="168" fontId="27" fillId="0" borderId="1" xfId="3" applyNumberFormat="1" applyFont="1" applyFill="1" applyBorder="1"/>
    <xf numFmtId="168" fontId="27" fillId="0" borderId="1" xfId="0" applyNumberFormat="1" applyFont="1" applyFill="1" applyBorder="1"/>
    <xf numFmtId="168" fontId="27" fillId="0" borderId="0" xfId="0" applyNumberFormat="1" applyFont="1"/>
    <xf numFmtId="170" fontId="27" fillId="0" borderId="16" xfId="2" applyNumberFormat="1" applyFont="1" applyBorder="1"/>
    <xf numFmtId="170" fontId="28" fillId="0" borderId="1" xfId="2" applyNumberFormat="1" applyFont="1" applyBorder="1" applyAlignment="1">
      <alignment wrapText="1"/>
    </xf>
    <xf numFmtId="0" fontId="26" fillId="0" borderId="0" xfId="0" applyFont="1" applyAlignment="1"/>
    <xf numFmtId="167" fontId="27" fillId="0" borderId="0" xfId="0" applyNumberFormat="1" applyFont="1"/>
    <xf numFmtId="0" fontId="40" fillId="2" borderId="1" xfId="0" applyFont="1" applyFill="1" applyBorder="1" applyAlignment="1">
      <alignment vertical="center" wrapText="1"/>
    </xf>
    <xf numFmtId="0" fontId="40" fillId="2" borderId="1" xfId="0" applyFont="1" applyFill="1" applyBorder="1" applyAlignment="1">
      <alignment horizontal="center" vertical="center" wrapText="1"/>
    </xf>
    <xf numFmtId="0" fontId="41" fillId="0" borderId="1" xfId="0" applyFont="1" applyBorder="1" applyAlignment="1">
      <alignment horizontal="right" vertical="center" wrapText="1"/>
    </xf>
    <xf numFmtId="168" fontId="42" fillId="0" borderId="1" xfId="3" applyNumberFormat="1" applyFont="1" applyBorder="1" applyAlignment="1">
      <alignment horizontal="right" vertical="center" wrapText="1"/>
    </xf>
    <xf numFmtId="0" fontId="30" fillId="0" borderId="1" xfId="0" applyFont="1" applyFill="1" applyBorder="1" applyAlignment="1">
      <alignment horizontal="center" vertical="center" wrapText="1"/>
    </xf>
    <xf numFmtId="0" fontId="30" fillId="0" borderId="1" xfId="0" applyFont="1" applyFill="1" applyBorder="1" applyAlignment="1">
      <alignment horizontal="left" vertical="center" wrapText="1"/>
    </xf>
    <xf numFmtId="170" fontId="29" fillId="0" borderId="1" xfId="2" applyNumberFormat="1" applyFont="1" applyFill="1" applyBorder="1" applyAlignment="1">
      <alignment horizontal="center" vertical="center" wrapText="1"/>
    </xf>
    <xf numFmtId="0" fontId="42" fillId="0" borderId="1" xfId="0" applyFont="1" applyBorder="1" applyAlignment="1">
      <alignment horizontal="center" vertical="center" wrapText="1"/>
    </xf>
    <xf numFmtId="0" fontId="42" fillId="0" borderId="1" xfId="0" applyFont="1" applyFill="1" applyBorder="1" applyAlignment="1">
      <alignment vertical="center" wrapText="1"/>
    </xf>
    <xf numFmtId="170" fontId="41" fillId="0" borderId="1" xfId="2" applyNumberFormat="1" applyFont="1" applyFill="1" applyBorder="1" applyAlignment="1">
      <alignment horizontal="right" vertical="center" wrapText="1"/>
    </xf>
    <xf numFmtId="0" fontId="41" fillId="0" borderId="1" xfId="0" applyFont="1" applyFill="1" applyBorder="1" applyAlignment="1">
      <alignment vertical="center" wrapText="1"/>
    </xf>
    <xf numFmtId="0" fontId="40" fillId="2" borderId="8" xfId="0" applyFont="1" applyFill="1" applyBorder="1" applyAlignment="1">
      <alignment vertical="center" wrapText="1"/>
    </xf>
    <xf numFmtId="0" fontId="40" fillId="2" borderId="4" xfId="0" applyFont="1" applyFill="1" applyBorder="1" applyAlignment="1">
      <alignment horizontal="center" vertical="center" wrapText="1"/>
    </xf>
    <xf numFmtId="168" fontId="42" fillId="0" borderId="1" xfId="3" applyNumberFormat="1" applyFont="1" applyFill="1" applyBorder="1" applyAlignment="1">
      <alignment horizontal="right" vertical="center" wrapText="1"/>
    </xf>
    <xf numFmtId="170" fontId="29" fillId="6" borderId="1" xfId="2" applyNumberFormat="1" applyFont="1" applyFill="1" applyBorder="1" applyAlignment="1">
      <alignment horizontal="left" vertical="center" wrapText="1"/>
    </xf>
    <xf numFmtId="170" fontId="29" fillId="6" borderId="1" xfId="2" applyNumberFormat="1" applyFont="1" applyFill="1" applyBorder="1" applyAlignment="1">
      <alignment vertical="center" wrapText="1"/>
    </xf>
    <xf numFmtId="0" fontId="27" fillId="6" borderId="1" xfId="0" applyFont="1" applyFill="1" applyBorder="1"/>
    <xf numFmtId="168" fontId="41" fillId="6" borderId="1" xfId="3" applyNumberFormat="1" applyFont="1" applyFill="1" applyBorder="1" applyAlignment="1">
      <alignment horizontal="right" vertical="center" wrapText="1"/>
    </xf>
    <xf numFmtId="0" fontId="42" fillId="6" borderId="1" xfId="0" applyFont="1" applyFill="1" applyBorder="1" applyAlignment="1">
      <alignment vertical="center" wrapText="1"/>
    </xf>
    <xf numFmtId="0" fontId="42" fillId="6" borderId="1" xfId="0" applyFont="1" applyFill="1" applyBorder="1" applyAlignment="1">
      <alignment horizontal="center" vertical="center" wrapText="1"/>
    </xf>
    <xf numFmtId="170" fontId="42" fillId="6" borderId="1" xfId="2" applyNumberFormat="1" applyFont="1" applyFill="1" applyBorder="1" applyAlignment="1">
      <alignment horizontal="right" vertical="center" wrapText="1"/>
    </xf>
    <xf numFmtId="0" fontId="28" fillId="6" borderId="1" xfId="0" applyFont="1" applyFill="1" applyBorder="1"/>
    <xf numFmtId="168" fontId="42" fillId="6" borderId="1" xfId="3" applyNumberFormat="1" applyFont="1" applyFill="1" applyBorder="1" applyAlignment="1">
      <alignment horizontal="right" vertical="center" wrapText="1"/>
    </xf>
    <xf numFmtId="0" fontId="41" fillId="6" borderId="1" xfId="0" applyFont="1" applyFill="1" applyBorder="1" applyAlignment="1">
      <alignment horizontal="center" vertical="center" wrapText="1"/>
    </xf>
    <xf numFmtId="0" fontId="41" fillId="6" borderId="1" xfId="0" applyFont="1" applyFill="1" applyBorder="1" applyAlignment="1">
      <alignment vertical="center" wrapText="1"/>
    </xf>
    <xf numFmtId="0" fontId="12" fillId="6" borderId="1" xfId="0" applyFont="1" applyFill="1" applyBorder="1" applyAlignment="1">
      <alignment horizontal="center" vertical="center" wrapText="1"/>
    </xf>
    <xf numFmtId="168" fontId="12" fillId="6" borderId="1" xfId="3" applyNumberFormat="1" applyFont="1" applyFill="1" applyBorder="1" applyAlignment="1">
      <alignment horizontal="center" vertical="center" wrapText="1"/>
    </xf>
    <xf numFmtId="168" fontId="12" fillId="6" borderId="1" xfId="3" applyNumberFormat="1" applyFont="1" applyFill="1" applyBorder="1" applyAlignment="1">
      <alignment horizontal="right" vertical="center" wrapText="1"/>
    </xf>
    <xf numFmtId="168" fontId="41" fillId="6" borderId="1" xfId="3" applyNumberFormat="1" applyFont="1" applyFill="1" applyBorder="1" applyAlignment="1">
      <alignment horizontal="center" vertical="center" wrapText="1"/>
    </xf>
    <xf numFmtId="168" fontId="41" fillId="6" borderId="10" xfId="3" applyNumberFormat="1" applyFont="1" applyFill="1" applyBorder="1" applyAlignment="1">
      <alignment horizontal="right" vertical="center" wrapText="1"/>
    </xf>
    <xf numFmtId="0" fontId="42" fillId="6" borderId="16" xfId="0" applyFont="1" applyFill="1" applyBorder="1" applyAlignment="1">
      <alignment horizontal="center" vertical="center" wrapText="1"/>
    </xf>
    <xf numFmtId="9" fontId="27" fillId="6" borderId="1" xfId="0" applyNumberFormat="1" applyFont="1" applyFill="1" applyBorder="1"/>
    <xf numFmtId="0" fontId="27" fillId="6" borderId="0" xfId="0" applyFont="1" applyFill="1"/>
    <xf numFmtId="0" fontId="29" fillId="6" borderId="0" xfId="0" applyFont="1" applyFill="1"/>
    <xf numFmtId="0" fontId="30" fillId="6" borderId="1" xfId="0" applyFont="1" applyFill="1" applyBorder="1"/>
    <xf numFmtId="0" fontId="29" fillId="6" borderId="1" xfId="0" applyFont="1" applyFill="1" applyBorder="1"/>
    <xf numFmtId="2" fontId="29" fillId="6" borderId="1" xfId="0" applyNumberFormat="1" applyFont="1" applyFill="1" applyBorder="1"/>
    <xf numFmtId="176" fontId="29" fillId="6" borderId="1" xfId="0" applyNumberFormat="1" applyFont="1" applyFill="1" applyBorder="1"/>
    <xf numFmtId="2" fontId="30" fillId="6" borderId="1" xfId="0" applyNumberFormat="1" applyFont="1" applyFill="1" applyBorder="1"/>
    <xf numFmtId="170" fontId="27" fillId="6" borderId="1" xfId="2" applyNumberFormat="1" applyFont="1" applyFill="1" applyBorder="1"/>
    <xf numFmtId="168" fontId="27" fillId="6" borderId="1" xfId="3" applyNumberFormat="1" applyFont="1" applyFill="1" applyBorder="1"/>
    <xf numFmtId="0" fontId="27" fillId="6" borderId="1" xfId="0" applyFont="1" applyFill="1" applyBorder="1" applyAlignment="1">
      <alignment wrapText="1"/>
    </xf>
    <xf numFmtId="170" fontId="27" fillId="6" borderId="1" xfId="2" applyNumberFormat="1" applyFont="1" applyFill="1" applyBorder="1" applyAlignment="1">
      <alignment wrapText="1"/>
    </xf>
    <xf numFmtId="170" fontId="28" fillId="6" borderId="1" xfId="2" applyNumberFormat="1" applyFont="1" applyFill="1" applyBorder="1"/>
    <xf numFmtId="166" fontId="27" fillId="6" borderId="0" xfId="0" applyNumberFormat="1" applyFont="1" applyFill="1" applyBorder="1"/>
    <xf numFmtId="0" fontId="42" fillId="0" borderId="1" xfId="0" applyFont="1" applyBorder="1" applyAlignment="1">
      <alignment horizontal="center" vertical="center" wrapText="1"/>
    </xf>
    <xf numFmtId="0" fontId="29" fillId="6" borderId="1" xfId="0" applyFont="1" applyFill="1" applyBorder="1" applyAlignment="1">
      <alignment vertical="center" wrapText="1"/>
    </xf>
    <xf numFmtId="0" fontId="27" fillId="6" borderId="1" xfId="0" applyFont="1" applyFill="1" applyBorder="1" applyAlignment="1">
      <alignment vertical="center" wrapText="1"/>
    </xf>
    <xf numFmtId="0" fontId="12" fillId="6" borderId="1" xfId="0" applyFont="1" applyFill="1" applyBorder="1" applyAlignment="1">
      <alignment vertical="center" wrapText="1"/>
    </xf>
    <xf numFmtId="0" fontId="41" fillId="6" borderId="9" xfId="0" applyFont="1" applyFill="1" applyBorder="1" applyAlignment="1">
      <alignment horizontal="right" vertical="center" wrapText="1"/>
    </xf>
    <xf numFmtId="0" fontId="41" fillId="6" borderId="10" xfId="0" applyFont="1" applyFill="1" applyBorder="1" applyAlignment="1">
      <alignment vertical="center" wrapText="1"/>
    </xf>
    <xf numFmtId="173" fontId="27" fillId="0" borderId="0" xfId="0" applyNumberFormat="1" applyFont="1"/>
    <xf numFmtId="0" fontId="28" fillId="0" borderId="1" xfId="0" applyFont="1" applyBorder="1" applyAlignment="1">
      <alignment horizontal="center" vertical="center"/>
    </xf>
    <xf numFmtId="10" fontId="4" fillId="0" borderId="1" xfId="0" applyNumberFormat="1" applyFont="1" applyBorder="1"/>
    <xf numFmtId="0" fontId="4" fillId="0" borderId="1" xfId="0" quotePrefix="1" applyFont="1" applyBorder="1" applyAlignment="1">
      <alignment horizontal="left"/>
    </xf>
    <xf numFmtId="4" fontId="7" fillId="0" borderId="1" xfId="0" applyNumberFormat="1" applyFont="1" applyBorder="1"/>
    <xf numFmtId="4" fontId="0" fillId="0" borderId="1" xfId="0" applyNumberFormat="1" applyBorder="1"/>
    <xf numFmtId="0" fontId="28" fillId="0" borderId="0" xfId="0" applyFont="1" applyBorder="1"/>
    <xf numFmtId="170" fontId="28" fillId="0" borderId="0" xfId="2" applyNumberFormat="1" applyFont="1" applyBorder="1"/>
    <xf numFmtId="0" fontId="41" fillId="0" borderId="1" xfId="0" applyFont="1" applyBorder="1" applyAlignment="1">
      <alignment horizontal="center" vertical="center" wrapText="1"/>
    </xf>
    <xf numFmtId="9" fontId="2" fillId="7" borderId="0" xfId="0" applyNumberFormat="1" applyFont="1" applyFill="1"/>
    <xf numFmtId="9" fontId="27" fillId="7" borderId="0" xfId="0" applyNumberFormat="1" applyFont="1" applyFill="1"/>
    <xf numFmtId="0" fontId="27" fillId="7" borderId="0" xfId="0" applyNumberFormat="1" applyFont="1" applyFill="1"/>
    <xf numFmtId="9" fontId="27" fillId="7" borderId="1" xfId="0" applyNumberFormat="1" applyFont="1" applyFill="1" applyBorder="1"/>
    <xf numFmtId="0" fontId="27" fillId="7" borderId="0" xfId="0" applyFont="1" applyFill="1"/>
    <xf numFmtId="0" fontId="28" fillId="7" borderId="1" xfId="0" applyFont="1" applyFill="1" applyBorder="1"/>
    <xf numFmtId="168" fontId="28" fillId="7" borderId="1" xfId="3" applyNumberFormat="1" applyFont="1" applyFill="1" applyBorder="1"/>
    <xf numFmtId="9" fontId="14" fillId="7" borderId="0" xfId="1" applyFont="1" applyFill="1" applyBorder="1"/>
    <xf numFmtId="9" fontId="42" fillId="7" borderId="1" xfId="0" applyNumberFormat="1" applyFont="1" applyFill="1" applyBorder="1" applyAlignment="1">
      <alignment horizontal="center" vertical="center" wrapText="1"/>
    </xf>
    <xf numFmtId="0" fontId="2" fillId="0" borderId="0" xfId="0" applyFont="1" applyAlignment="1"/>
    <xf numFmtId="0" fontId="0" fillId="6" borderId="1" xfId="0" applyFill="1" applyBorder="1"/>
    <xf numFmtId="0" fontId="0" fillId="7" borderId="1" xfId="0" applyFill="1" applyBorder="1"/>
    <xf numFmtId="0" fontId="0" fillId="0" borderId="0" xfId="0" applyAlignment="1">
      <alignment wrapText="1"/>
    </xf>
    <xf numFmtId="0" fontId="54" fillId="5" borderId="1" xfId="0" applyFont="1" applyFill="1" applyBorder="1"/>
    <xf numFmtId="0" fontId="54" fillId="5" borderId="1" xfId="0" applyFont="1" applyFill="1" applyBorder="1" applyAlignment="1">
      <alignment wrapText="1"/>
    </xf>
    <xf numFmtId="0" fontId="0" fillId="0" borderId="1" xfId="0" applyBorder="1" applyAlignment="1">
      <alignment horizontal="center"/>
    </xf>
    <xf numFmtId="0" fontId="54" fillId="5" borderId="2" xfId="0" applyFont="1" applyFill="1" applyBorder="1" applyAlignment="1">
      <alignment wrapText="1"/>
    </xf>
    <xf numFmtId="0" fontId="0" fillId="0" borderId="0" xfId="0" applyFill="1" applyBorder="1"/>
    <xf numFmtId="0" fontId="0" fillId="0" borderId="1" xfId="0" applyFill="1" applyBorder="1"/>
    <xf numFmtId="0" fontId="0" fillId="0" borderId="0" xfId="0" applyBorder="1"/>
    <xf numFmtId="0" fontId="27" fillId="0" borderId="1" xfId="0" applyFont="1" applyFill="1" applyBorder="1" applyAlignment="1">
      <alignment wrapText="1"/>
    </xf>
    <xf numFmtId="168" fontId="27" fillId="0" borderId="1" xfId="1" applyNumberFormat="1" applyFont="1" applyBorder="1"/>
    <xf numFmtId="43" fontId="27" fillId="0" borderId="1" xfId="0" applyNumberFormat="1" applyFont="1" applyFill="1" applyBorder="1"/>
    <xf numFmtId="9" fontId="28" fillId="7" borderId="1" xfId="1" applyFont="1" applyFill="1" applyBorder="1"/>
    <xf numFmtId="9" fontId="0" fillId="6" borderId="1" xfId="1" applyFont="1" applyFill="1" applyBorder="1"/>
    <xf numFmtId="9" fontId="0" fillId="7" borderId="1" xfId="0" applyNumberFormat="1" applyFill="1" applyBorder="1"/>
    <xf numFmtId="0" fontId="2" fillId="0" borderId="11" xfId="0" applyFont="1" applyFill="1" applyBorder="1" applyAlignment="1">
      <alignment wrapText="1"/>
    </xf>
    <xf numFmtId="171" fontId="0" fillId="0" borderId="0" xfId="0" applyNumberFormat="1"/>
    <xf numFmtId="0" fontId="0" fillId="0" borderId="1" xfId="0" applyNumberFormat="1" applyBorder="1"/>
    <xf numFmtId="170" fontId="27" fillId="0" borderId="0" xfId="2" applyNumberFormat="1" applyFont="1" applyBorder="1"/>
    <xf numFmtId="0" fontId="54" fillId="5" borderId="1" xfId="0" applyFont="1" applyFill="1" applyBorder="1" applyAlignment="1">
      <alignment horizontal="center"/>
    </xf>
    <xf numFmtId="0" fontId="54" fillId="0" borderId="0" xfId="0" applyFont="1" applyFill="1" applyBorder="1" applyAlignment="1">
      <alignment horizontal="center"/>
    </xf>
    <xf numFmtId="0" fontId="0" fillId="0" borderId="0" xfId="0" applyNumberFormat="1" applyFill="1" applyBorder="1"/>
    <xf numFmtId="1" fontId="0" fillId="0" borderId="0" xfId="0" applyNumberFormat="1" applyFill="1" applyBorder="1"/>
    <xf numFmtId="0" fontId="2" fillId="0" borderId="0" xfId="0" applyFont="1" applyFill="1" applyBorder="1"/>
    <xf numFmtId="170" fontId="2" fillId="0" borderId="0" xfId="2" applyNumberFormat="1" applyFont="1" applyFill="1" applyBorder="1"/>
    <xf numFmtId="1" fontId="27" fillId="0" borderId="1" xfId="0" applyNumberFormat="1" applyFont="1" applyBorder="1"/>
    <xf numFmtId="0" fontId="0" fillId="0" borderId="0" xfId="0" applyAlignment="1">
      <alignment horizontal="center"/>
    </xf>
    <xf numFmtId="9" fontId="54" fillId="7" borderId="1" xfId="0" applyNumberFormat="1" applyFont="1" applyFill="1" applyBorder="1"/>
    <xf numFmtId="0" fontId="2" fillId="0" borderId="0" xfId="0" applyFont="1" applyAlignment="1">
      <alignment horizontal="center"/>
    </xf>
    <xf numFmtId="0" fontId="0" fillId="0" borderId="0" xfId="0" applyAlignment="1">
      <alignment horizontal="center"/>
    </xf>
    <xf numFmtId="0" fontId="40" fillId="2" borderId="1" xfId="0" applyFont="1" applyFill="1" applyBorder="1" applyAlignment="1">
      <alignment horizontal="center" vertical="center" wrapText="1"/>
    </xf>
    <xf numFmtId="0" fontId="28" fillId="0" borderId="0" xfId="0" applyFont="1" applyAlignment="1">
      <alignment horizontal="center"/>
    </xf>
    <xf numFmtId="9" fontId="0" fillId="0" borderId="1" xfId="0" applyNumberFormat="1" applyBorder="1"/>
    <xf numFmtId="0" fontId="27" fillId="7" borderId="1" xfId="0" applyFont="1" applyFill="1" applyBorder="1"/>
    <xf numFmtId="9" fontId="27" fillId="0" borderId="1" xfId="0" applyNumberFormat="1" applyFont="1" applyFill="1" applyBorder="1"/>
    <xf numFmtId="9" fontId="0" fillId="6" borderId="1" xfId="0" applyNumberFormat="1" applyFill="1" applyBorder="1"/>
    <xf numFmtId="0" fontId="2" fillId="0" borderId="14" xfId="0" applyFont="1" applyBorder="1" applyAlignment="1">
      <alignment horizontal="center" vertical="center"/>
    </xf>
    <xf numFmtId="0" fontId="2" fillId="6" borderId="1" xfId="0" applyFont="1" applyFill="1" applyBorder="1"/>
    <xf numFmtId="0" fontId="2" fillId="0" borderId="1" xfId="0" applyFont="1" applyFill="1" applyBorder="1"/>
    <xf numFmtId="0" fontId="28" fillId="0" borderId="1" xfId="0" applyFont="1" applyFill="1" applyBorder="1" applyAlignment="1">
      <alignment horizontal="left"/>
    </xf>
    <xf numFmtId="170" fontId="4" fillId="0" borderId="1" xfId="2" applyNumberFormat="1" applyFont="1" applyFill="1" applyBorder="1"/>
    <xf numFmtId="170" fontId="6" fillId="0" borderId="1" xfId="2" applyNumberFormat="1" applyFont="1" applyFill="1" applyBorder="1"/>
    <xf numFmtId="0" fontId="52" fillId="0" borderId="0" xfId="0" applyFont="1" applyAlignment="1"/>
    <xf numFmtId="0" fontId="30" fillId="5" borderId="1" xfId="0" applyFont="1" applyFill="1" applyBorder="1"/>
    <xf numFmtId="9" fontId="58" fillId="7" borderId="1" xfId="0" applyNumberFormat="1" applyFont="1" applyFill="1" applyBorder="1"/>
    <xf numFmtId="0" fontId="57" fillId="0" borderId="0" xfId="0" applyFont="1" applyAlignment="1"/>
    <xf numFmtId="172" fontId="28" fillId="6" borderId="1" xfId="0" applyNumberFormat="1" applyFont="1" applyFill="1" applyBorder="1"/>
    <xf numFmtId="0" fontId="43" fillId="2" borderId="1" xfId="0" applyFont="1" applyFill="1" applyBorder="1" applyAlignment="1">
      <alignment vertical="center" wrapText="1"/>
    </xf>
    <xf numFmtId="0" fontId="43" fillId="2" borderId="1" xfId="0" applyFont="1" applyFill="1" applyBorder="1" applyAlignment="1">
      <alignment horizontal="center" vertical="center" wrapText="1"/>
    </xf>
    <xf numFmtId="0" fontId="44" fillId="0" borderId="1" xfId="0" applyFont="1" applyBorder="1" applyAlignment="1">
      <alignment horizontal="right" vertical="center" wrapText="1"/>
    </xf>
    <xf numFmtId="0" fontId="44" fillId="0" borderId="1" xfId="0" applyFont="1" applyBorder="1" applyAlignment="1">
      <alignment vertical="center" wrapText="1"/>
    </xf>
    <xf numFmtId="0" fontId="43" fillId="5" borderId="1" xfId="0" applyFont="1" applyFill="1" applyBorder="1" applyAlignment="1">
      <alignment vertical="center" wrapText="1"/>
    </xf>
    <xf numFmtId="0" fontId="43" fillId="5" borderId="1" xfId="0" applyFont="1" applyFill="1" applyBorder="1" applyAlignment="1">
      <alignment vertical="center"/>
    </xf>
    <xf numFmtId="0" fontId="44" fillId="0" borderId="1" xfId="0" applyFont="1" applyBorder="1" applyAlignment="1">
      <alignment horizontal="center" vertical="center" wrapText="1"/>
    </xf>
    <xf numFmtId="0" fontId="12" fillId="0" borderId="1" xfId="0" applyFont="1" applyBorder="1" applyAlignment="1">
      <alignment vertical="center" wrapText="1"/>
    </xf>
    <xf numFmtId="0" fontId="29" fillId="0" borderId="1" xfId="0" applyFont="1" applyFill="1" applyBorder="1" applyAlignment="1">
      <alignment horizontal="left" vertical="center" wrapText="1"/>
    </xf>
    <xf numFmtId="0" fontId="29" fillId="0" borderId="1" xfId="0" applyFont="1" applyFill="1" applyBorder="1" applyAlignment="1">
      <alignment horizontal="center" vertical="center" wrapText="1"/>
    </xf>
    <xf numFmtId="0" fontId="0" fillId="0" borderId="0" xfId="0" applyAlignment="1">
      <alignment vertical="center" wrapText="1"/>
    </xf>
    <xf numFmtId="0" fontId="2" fillId="0" borderId="1" xfId="0" applyFont="1" applyBorder="1" applyAlignment="1">
      <alignment vertical="center" wrapText="1"/>
    </xf>
    <xf numFmtId="0" fontId="0" fillId="0" borderId="1" xfId="0" applyBorder="1" applyAlignment="1">
      <alignment vertical="center" wrapText="1"/>
    </xf>
    <xf numFmtId="0" fontId="0" fillId="0" borderId="2" xfId="0" applyFill="1" applyBorder="1" applyAlignment="1">
      <alignment vertical="center" wrapText="1"/>
    </xf>
    <xf numFmtId="0" fontId="0" fillId="6" borderId="16" xfId="0" applyFill="1" applyBorder="1" applyAlignment="1">
      <alignment vertical="center" wrapText="1"/>
    </xf>
    <xf numFmtId="0" fontId="0" fillId="7" borderId="16" xfId="0" applyFill="1" applyBorder="1" applyAlignment="1">
      <alignment vertical="center" wrapText="1"/>
    </xf>
    <xf numFmtId="0" fontId="62" fillId="5" borderId="11" xfId="0" applyFont="1" applyFill="1" applyBorder="1" applyAlignment="1">
      <alignment horizontal="center"/>
    </xf>
    <xf numFmtId="0" fontId="0" fillId="0" borderId="0" xfId="0" applyFill="1" applyAlignment="1">
      <alignment vertical="center" wrapText="1"/>
    </xf>
    <xf numFmtId="0" fontId="2" fillId="11" borderId="1" xfId="0" applyFont="1" applyFill="1" applyBorder="1" applyAlignment="1">
      <alignment vertical="center" wrapText="1"/>
    </xf>
    <xf numFmtId="0" fontId="66" fillId="0" borderId="1" xfId="0" applyFont="1" applyBorder="1" applyAlignment="1">
      <alignment vertical="center" wrapText="1"/>
    </xf>
    <xf numFmtId="0" fontId="2" fillId="11" borderId="2" xfId="0" applyFont="1" applyFill="1" applyBorder="1" applyAlignment="1">
      <alignment vertical="center" wrapText="1"/>
    </xf>
    <xf numFmtId="0" fontId="0" fillId="0" borderId="1" xfId="0" applyBorder="1" applyAlignment="1">
      <alignment horizontal="center" vertical="center" wrapText="1"/>
    </xf>
    <xf numFmtId="0" fontId="68" fillId="0" borderId="1" xfId="0" applyFont="1" applyBorder="1"/>
    <xf numFmtId="0" fontId="56" fillId="0" borderId="1" xfId="0" applyFont="1" applyBorder="1"/>
    <xf numFmtId="0" fontId="69" fillId="0" borderId="1" xfId="0" applyFont="1" applyBorder="1"/>
    <xf numFmtId="0" fontId="70" fillId="0" borderId="1" xfId="0" applyFont="1" applyBorder="1"/>
    <xf numFmtId="0" fontId="53" fillId="0" borderId="0" xfId="0" applyFont="1" applyAlignment="1">
      <alignment horizontal="center" wrapText="1"/>
    </xf>
    <xf numFmtId="0" fontId="42" fillId="6" borderId="1" xfId="0" applyFont="1" applyFill="1" applyBorder="1" applyAlignment="1">
      <alignment horizontal="center" vertical="center" wrapText="1"/>
    </xf>
    <xf numFmtId="0" fontId="42" fillId="0" borderId="1" xfId="0" applyFont="1" applyBorder="1" applyAlignment="1">
      <alignment horizontal="center" vertical="center" wrapText="1"/>
    </xf>
    <xf numFmtId="0" fontId="0" fillId="0" borderId="2" xfId="0" applyFill="1" applyBorder="1"/>
    <xf numFmtId="0" fontId="0" fillId="0" borderId="15" xfId="0" applyBorder="1"/>
    <xf numFmtId="0" fontId="0" fillId="0" borderId="21" xfId="0" applyBorder="1"/>
    <xf numFmtId="0" fontId="0" fillId="0" borderId="16" xfId="0" applyBorder="1"/>
    <xf numFmtId="0" fontId="71" fillId="12" borderId="1" xfId="0" applyFont="1" applyFill="1" applyBorder="1"/>
    <xf numFmtId="0" fontId="56" fillId="0" borderId="1" xfId="0" applyFont="1" applyBorder="1" applyAlignment="1">
      <alignment horizontal="center"/>
    </xf>
    <xf numFmtId="0" fontId="56" fillId="0" borderId="1" xfId="0" applyFont="1" applyBorder="1" applyAlignment="1">
      <alignment horizontal="right"/>
    </xf>
    <xf numFmtId="0" fontId="72" fillId="0" borderId="1" xfId="0" applyFont="1" applyFill="1" applyBorder="1" applyAlignment="1">
      <alignment wrapText="1"/>
    </xf>
    <xf numFmtId="170" fontId="69" fillId="0" borderId="1" xfId="2" applyNumberFormat="1" applyFont="1" applyBorder="1"/>
    <xf numFmtId="0" fontId="56" fillId="0" borderId="1" xfId="0" applyFont="1" applyFill="1" applyBorder="1"/>
    <xf numFmtId="164" fontId="70" fillId="0" borderId="1" xfId="2" applyFont="1" applyBorder="1"/>
    <xf numFmtId="0" fontId="72" fillId="0" borderId="1" xfId="0" applyFont="1" applyBorder="1"/>
    <xf numFmtId="1" fontId="72" fillId="0" borderId="1" xfId="0" applyNumberFormat="1" applyFont="1" applyBorder="1"/>
    <xf numFmtId="0" fontId="73" fillId="0" borderId="1" xfId="0" applyFont="1" applyFill="1" applyBorder="1" applyAlignment="1">
      <alignment horizontal="center"/>
    </xf>
    <xf numFmtId="0" fontId="71" fillId="0" borderId="1" xfId="0" applyFont="1" applyFill="1" applyBorder="1"/>
    <xf numFmtId="0" fontId="71" fillId="0" borderId="1" xfId="0" applyFont="1" applyFill="1" applyBorder="1" applyAlignment="1">
      <alignment horizontal="center"/>
    </xf>
    <xf numFmtId="0" fontId="74" fillId="0" borderId="1" xfId="0" applyFont="1" applyFill="1" applyBorder="1"/>
    <xf numFmtId="0" fontId="70" fillId="0" borderId="1" xfId="0" applyFont="1" applyBorder="1" applyAlignment="1">
      <alignment horizontal="center"/>
    </xf>
    <xf numFmtId="164" fontId="72" fillId="0" borderId="1" xfId="2" applyFont="1" applyBorder="1"/>
    <xf numFmtId="164" fontId="56" fillId="0" borderId="1" xfId="2" applyFont="1" applyBorder="1"/>
    <xf numFmtId="164" fontId="70" fillId="0" borderId="1" xfId="0" applyNumberFormat="1" applyFont="1" applyBorder="1"/>
    <xf numFmtId="1" fontId="56" fillId="0" borderId="1" xfId="0" applyNumberFormat="1" applyFont="1" applyBorder="1"/>
    <xf numFmtId="0" fontId="69" fillId="0" borderId="1" xfId="0" applyFont="1" applyBorder="1" applyAlignment="1">
      <alignment horizontal="center"/>
    </xf>
    <xf numFmtId="164" fontId="69" fillId="0" borderId="1" xfId="0" applyNumberFormat="1" applyFont="1" applyBorder="1"/>
    <xf numFmtId="0" fontId="0" fillId="13" borderId="0" xfId="0" applyFill="1"/>
    <xf numFmtId="0" fontId="75" fillId="12" borderId="1" xfId="0" applyFont="1" applyFill="1" applyBorder="1" applyAlignment="1">
      <alignment horizontal="center"/>
    </xf>
    <xf numFmtId="0" fontId="73" fillId="12" borderId="20" xfId="0" applyFont="1" applyFill="1" applyBorder="1"/>
    <xf numFmtId="170" fontId="72" fillId="0" borderId="1" xfId="2" applyNumberFormat="1" applyFont="1" applyFill="1" applyBorder="1" applyAlignment="1">
      <alignment horizontal="right"/>
    </xf>
    <xf numFmtId="0" fontId="72" fillId="0" borderId="11" xfId="0" applyFont="1" applyFill="1" applyBorder="1"/>
    <xf numFmtId="0" fontId="72" fillId="0" borderId="1" xfId="0" applyFont="1" applyFill="1" applyBorder="1"/>
    <xf numFmtId="13" fontId="72" fillId="0" borderId="1" xfId="2" applyNumberFormat="1" applyFont="1" applyFill="1" applyBorder="1" applyAlignment="1">
      <alignment horizontal="right"/>
    </xf>
    <xf numFmtId="164" fontId="56" fillId="0" borderId="1" xfId="0" applyNumberFormat="1" applyFont="1" applyFill="1" applyBorder="1"/>
    <xf numFmtId="0" fontId="72" fillId="0" borderId="12" xfId="0" applyFont="1" applyFill="1" applyBorder="1"/>
    <xf numFmtId="0" fontId="70" fillId="0" borderId="1" xfId="0" applyFont="1" applyFill="1" applyBorder="1" applyAlignment="1">
      <alignment horizontal="left"/>
    </xf>
    <xf numFmtId="164" fontId="69" fillId="0" borderId="1" xfId="2" applyFont="1" applyFill="1" applyBorder="1" applyAlignment="1">
      <alignment horizontal="left"/>
    </xf>
    <xf numFmtId="0" fontId="69" fillId="0" borderId="1" xfId="0" applyFont="1" applyFill="1" applyBorder="1" applyAlignment="1">
      <alignment horizontal="left"/>
    </xf>
    <xf numFmtId="9" fontId="69" fillId="0" borderId="1" xfId="1" applyFont="1" applyFill="1" applyBorder="1" applyAlignment="1">
      <alignment horizontal="center"/>
    </xf>
    <xf numFmtId="170" fontId="69" fillId="0" borderId="1" xfId="2" applyNumberFormat="1" applyFont="1" applyFill="1" applyBorder="1" applyAlignment="1">
      <alignment horizontal="center"/>
    </xf>
    <xf numFmtId="0" fontId="69" fillId="0" borderId="1" xfId="0" applyFont="1" applyFill="1" applyBorder="1"/>
    <xf numFmtId="164" fontId="69" fillId="0" borderId="1" xfId="2" applyFont="1" applyBorder="1"/>
    <xf numFmtId="170" fontId="27" fillId="6" borderId="1" xfId="0" applyNumberFormat="1" applyFont="1" applyFill="1" applyBorder="1"/>
    <xf numFmtId="164" fontId="27" fillId="0" borderId="1" xfId="2" applyNumberFormat="1" applyFont="1" applyBorder="1"/>
    <xf numFmtId="164" fontId="27" fillId="0" borderId="1" xfId="0" applyNumberFormat="1" applyFont="1" applyBorder="1"/>
    <xf numFmtId="164" fontId="27" fillId="6" borderId="1" xfId="0" applyNumberFormat="1" applyFont="1" applyFill="1" applyBorder="1"/>
    <xf numFmtId="164" fontId="0" fillId="0" borderId="0" xfId="0" applyNumberFormat="1"/>
    <xf numFmtId="0" fontId="76" fillId="0" borderId="1" xfId="0" applyFont="1" applyBorder="1" applyAlignment="1">
      <alignment wrapText="1"/>
    </xf>
    <xf numFmtId="0" fontId="77" fillId="0" borderId="1" xfId="0" applyFont="1" applyBorder="1" applyAlignment="1">
      <alignment wrapText="1"/>
    </xf>
    <xf numFmtId="164" fontId="77" fillId="0" borderId="1" xfId="2" applyFont="1" applyBorder="1" applyAlignment="1">
      <alignment wrapText="1"/>
    </xf>
    <xf numFmtId="0" fontId="78" fillId="0" borderId="1" xfId="0" applyFont="1" applyBorder="1" applyAlignment="1">
      <alignment wrapText="1"/>
    </xf>
    <xf numFmtId="9" fontId="77" fillId="0" borderId="1" xfId="0" applyNumberFormat="1" applyFont="1" applyBorder="1" applyAlignment="1">
      <alignment wrapText="1"/>
    </xf>
    <xf numFmtId="0" fontId="77" fillId="0" borderId="0" xfId="0" applyFont="1" applyBorder="1" applyAlignment="1">
      <alignment wrapText="1"/>
    </xf>
    <xf numFmtId="164" fontId="77" fillId="0" borderId="0" xfId="2" applyFont="1" applyBorder="1" applyAlignment="1">
      <alignment wrapText="1"/>
    </xf>
    <xf numFmtId="0" fontId="77" fillId="0" borderId="1" xfId="0" applyFont="1" applyFill="1" applyBorder="1" applyAlignment="1">
      <alignment wrapText="1"/>
    </xf>
    <xf numFmtId="164" fontId="77" fillId="0" borderId="1" xfId="2" applyFont="1" applyFill="1" applyBorder="1" applyAlignment="1">
      <alignment wrapText="1"/>
    </xf>
    <xf numFmtId="0" fontId="77" fillId="0" borderId="0" xfId="0" applyFont="1" applyFill="1" applyBorder="1" applyAlignment="1">
      <alignment wrapText="1"/>
    </xf>
    <xf numFmtId="164" fontId="77" fillId="0" borderId="0" xfId="2" applyFont="1" applyFill="1" applyBorder="1" applyAlignment="1">
      <alignment wrapText="1"/>
    </xf>
    <xf numFmtId="164" fontId="76" fillId="0" borderId="0" xfId="0" applyNumberFormat="1" applyFont="1" applyFill="1" applyBorder="1" applyAlignment="1">
      <alignment wrapText="1"/>
    </xf>
    <xf numFmtId="0" fontId="80" fillId="0" borderId="0" xfId="0" applyFont="1"/>
    <xf numFmtId="166" fontId="41" fillId="6" borderId="1" xfId="3" applyNumberFormat="1" applyFont="1" applyFill="1" applyBorder="1" applyAlignment="1">
      <alignment horizontal="right" vertical="center" wrapText="1"/>
    </xf>
    <xf numFmtId="166" fontId="40" fillId="2" borderId="1" xfId="0" applyNumberFormat="1" applyFont="1" applyFill="1" applyBorder="1" applyAlignment="1">
      <alignment horizontal="center" vertical="center" wrapText="1"/>
    </xf>
    <xf numFmtId="166" fontId="29" fillId="0" borderId="1" xfId="3" applyNumberFormat="1" applyFont="1" applyFill="1" applyBorder="1" applyAlignment="1">
      <alignment horizontal="right" vertical="center" wrapText="1"/>
    </xf>
    <xf numFmtId="166" fontId="29" fillId="6" borderId="1" xfId="2" applyNumberFormat="1" applyFont="1" applyFill="1" applyBorder="1" applyAlignment="1">
      <alignment horizontal="right" vertical="center" wrapText="1"/>
    </xf>
    <xf numFmtId="166" fontId="28" fillId="0" borderId="1" xfId="3" applyNumberFormat="1" applyFont="1" applyBorder="1" applyAlignment="1">
      <alignment horizontal="right" vertical="center" wrapText="1"/>
    </xf>
    <xf numFmtId="166" fontId="42" fillId="6" borderId="1" xfId="3" applyNumberFormat="1" applyFont="1" applyFill="1" applyBorder="1" applyAlignment="1">
      <alignment horizontal="right" vertical="center" wrapText="1"/>
    </xf>
    <xf numFmtId="166" fontId="42" fillId="0" borderId="1" xfId="3" applyNumberFormat="1" applyFont="1" applyFill="1" applyBorder="1" applyAlignment="1">
      <alignment horizontal="right" vertical="center" wrapText="1"/>
    </xf>
    <xf numFmtId="166" fontId="41" fillId="6" borderId="10" xfId="3" applyNumberFormat="1" applyFont="1" applyFill="1" applyBorder="1" applyAlignment="1">
      <alignment horizontal="right" vertical="center" wrapText="1"/>
    </xf>
    <xf numFmtId="166" fontId="42" fillId="6" borderId="10" xfId="3" applyNumberFormat="1" applyFont="1" applyFill="1" applyBorder="1" applyAlignment="1">
      <alignment horizontal="right" vertical="center" wrapText="1"/>
    </xf>
    <xf numFmtId="3" fontId="72" fillId="0" borderId="1" xfId="0" applyNumberFormat="1" applyFont="1" applyBorder="1" applyAlignment="1">
      <alignment horizontal="center"/>
    </xf>
    <xf numFmtId="4" fontId="72" fillId="0" borderId="1" xfId="0" applyNumberFormat="1" applyFont="1" applyBorder="1"/>
    <xf numFmtId="164" fontId="72" fillId="0" borderId="1" xfId="0" applyNumberFormat="1" applyFont="1" applyBorder="1"/>
    <xf numFmtId="1" fontId="72" fillId="0" borderId="1" xfId="0" applyNumberFormat="1" applyFont="1" applyBorder="1" applyAlignment="1">
      <alignment horizontal="center"/>
    </xf>
    <xf numFmtId="2" fontId="72" fillId="0" borderId="1" xfId="0" applyNumberFormat="1" applyFont="1" applyBorder="1"/>
    <xf numFmtId="1" fontId="69" fillId="0" borderId="1" xfId="0" applyNumberFormat="1" applyFont="1" applyBorder="1" applyAlignment="1">
      <alignment horizontal="center"/>
    </xf>
    <xf numFmtId="0" fontId="69" fillId="0" borderId="1" xfId="0" applyFont="1" applyBorder="1" applyAlignment="1">
      <alignment wrapText="1"/>
    </xf>
    <xf numFmtId="2" fontId="69" fillId="0" borderId="1" xfId="0" applyNumberFormat="1" applyFont="1" applyBorder="1"/>
    <xf numFmtId="0" fontId="72" fillId="0" borderId="1" xfId="0" applyFont="1" applyBorder="1" applyAlignment="1">
      <alignment wrapText="1"/>
    </xf>
    <xf numFmtId="164" fontId="21" fillId="2" borderId="1" xfId="0" applyNumberFormat="1" applyFont="1" applyFill="1" applyBorder="1"/>
    <xf numFmtId="164" fontId="21" fillId="2" borderId="1" xfId="0" applyNumberFormat="1" applyFont="1" applyFill="1" applyBorder="1" applyAlignment="1">
      <alignment horizontal="center"/>
    </xf>
    <xf numFmtId="164" fontId="28" fillId="0" borderId="1" xfId="0" applyNumberFormat="1" applyFont="1" applyBorder="1"/>
    <xf numFmtId="164" fontId="28" fillId="0" borderId="1" xfId="2" applyNumberFormat="1" applyFont="1" applyBorder="1"/>
    <xf numFmtId="164" fontId="27" fillId="0" borderId="1" xfId="0" applyNumberFormat="1" applyFont="1" applyFill="1" applyBorder="1"/>
    <xf numFmtId="164" fontId="45" fillId="0" borderId="0" xfId="0" applyNumberFormat="1" applyFont="1"/>
    <xf numFmtId="0" fontId="71" fillId="12" borderId="0" xfId="0" applyFont="1" applyFill="1" applyBorder="1" applyAlignment="1">
      <alignment horizontal="center"/>
    </xf>
    <xf numFmtId="0" fontId="72" fillId="0" borderId="0" xfId="0" applyFont="1" applyBorder="1"/>
    <xf numFmtId="164" fontId="72" fillId="0" borderId="0" xfId="2" applyFont="1" applyBorder="1"/>
    <xf numFmtId="1" fontId="72" fillId="0" borderId="0" xfId="0" applyNumberFormat="1" applyFont="1" applyBorder="1"/>
    <xf numFmtId="164" fontId="56" fillId="0" borderId="0" xfId="2" applyFont="1" applyBorder="1"/>
    <xf numFmtId="170" fontId="69" fillId="0" borderId="1" xfId="0" applyNumberFormat="1" applyFont="1" applyBorder="1"/>
    <xf numFmtId="170" fontId="70" fillId="0" borderId="1" xfId="0" applyNumberFormat="1" applyFont="1" applyBorder="1"/>
    <xf numFmtId="0" fontId="71" fillId="4" borderId="0" xfId="0" applyFont="1" applyFill="1" applyBorder="1" applyAlignment="1">
      <alignment horizontal="center"/>
    </xf>
    <xf numFmtId="0" fontId="69" fillId="4" borderId="0" xfId="0" applyFont="1" applyFill="1" applyBorder="1"/>
    <xf numFmtId="0" fontId="72" fillId="4" borderId="0" xfId="0" applyFont="1" applyFill="1" applyBorder="1"/>
    <xf numFmtId="1" fontId="72" fillId="4" borderId="0" xfId="0" applyNumberFormat="1" applyFont="1" applyFill="1" applyBorder="1"/>
    <xf numFmtId="170" fontId="69" fillId="4" borderId="0" xfId="0" applyNumberFormat="1" applyFont="1" applyFill="1" applyBorder="1"/>
    <xf numFmtId="164" fontId="70" fillId="4" borderId="0" xfId="0" applyNumberFormat="1" applyFont="1" applyFill="1" applyBorder="1"/>
    <xf numFmtId="164" fontId="56" fillId="4" borderId="0" xfId="2" applyFont="1" applyFill="1" applyBorder="1"/>
    <xf numFmtId="164" fontId="69" fillId="0" borderId="0" xfId="0" applyNumberFormat="1" applyFont="1"/>
    <xf numFmtId="164" fontId="56" fillId="0" borderId="1" xfId="0" applyNumberFormat="1" applyFont="1" applyBorder="1" applyAlignment="1">
      <alignment horizontal="center"/>
    </xf>
    <xf numFmtId="164" fontId="56" fillId="0" borderId="1" xfId="0" applyNumberFormat="1" applyFont="1" applyBorder="1" applyAlignment="1">
      <alignment horizontal="right"/>
    </xf>
    <xf numFmtId="164" fontId="69" fillId="0" borderId="1" xfId="2" applyNumberFormat="1" applyFont="1" applyBorder="1"/>
    <xf numFmtId="164" fontId="70" fillId="0" borderId="1" xfId="2" applyNumberFormat="1" applyFont="1" applyBorder="1"/>
    <xf numFmtId="164" fontId="70" fillId="0" borderId="0" xfId="0" applyNumberFormat="1" applyFont="1"/>
    <xf numFmtId="164" fontId="2" fillId="0" borderId="0" xfId="0" applyNumberFormat="1" applyFont="1" applyAlignment="1">
      <alignment horizontal="center"/>
    </xf>
    <xf numFmtId="164" fontId="28" fillId="0" borderId="0" xfId="0" applyNumberFormat="1" applyFont="1" applyAlignment="1">
      <alignment horizontal="center"/>
    </xf>
    <xf numFmtId="164" fontId="27" fillId="0" borderId="1" xfId="1" applyNumberFormat="1" applyFont="1" applyBorder="1"/>
    <xf numFmtId="164" fontId="0" fillId="0" borderId="1" xfId="0" applyNumberFormat="1" applyBorder="1"/>
    <xf numFmtId="164" fontId="77" fillId="0" borderId="1" xfId="2" applyNumberFormat="1" applyFont="1" applyBorder="1" applyAlignment="1">
      <alignment wrapText="1"/>
    </xf>
    <xf numFmtId="164" fontId="71" fillId="0" borderId="1" xfId="0" applyNumberFormat="1" applyFont="1" applyFill="1" applyBorder="1" applyAlignment="1">
      <alignment horizontal="center"/>
    </xf>
    <xf numFmtId="164" fontId="72" fillId="0" borderId="1" xfId="2" applyNumberFormat="1" applyFont="1" applyBorder="1"/>
    <xf numFmtId="164" fontId="56" fillId="0" borderId="1" xfId="2" applyNumberFormat="1" applyFont="1" applyBorder="1"/>
    <xf numFmtId="164" fontId="0" fillId="13" borderId="0" xfId="0" applyNumberFormat="1" applyFill="1"/>
    <xf numFmtId="164" fontId="73" fillId="12" borderId="20" xfId="0" applyNumberFormat="1" applyFont="1" applyFill="1" applyBorder="1"/>
    <xf numFmtId="164" fontId="72" fillId="0" borderId="0" xfId="0" applyNumberFormat="1" applyFont="1" applyFill="1" applyBorder="1"/>
    <xf numFmtId="164" fontId="72" fillId="0" borderId="13" xfId="0" applyNumberFormat="1" applyFont="1" applyFill="1" applyBorder="1"/>
    <xf numFmtId="164" fontId="69" fillId="0" borderId="1" xfId="2" applyNumberFormat="1" applyFont="1" applyFill="1" applyBorder="1" applyAlignment="1">
      <alignment horizontal="left"/>
    </xf>
    <xf numFmtId="164" fontId="69" fillId="0" borderId="1" xfId="1" applyNumberFormat="1" applyFont="1" applyFill="1" applyBorder="1" applyAlignment="1">
      <alignment horizontal="center"/>
    </xf>
    <xf numFmtId="164" fontId="69" fillId="0" borderId="1" xfId="2" applyNumberFormat="1" applyFont="1" applyFill="1" applyBorder="1" applyAlignment="1">
      <alignment horizontal="center"/>
    </xf>
    <xf numFmtId="164" fontId="71" fillId="12" borderId="0" xfId="0" applyNumberFormat="1" applyFont="1" applyFill="1" applyBorder="1" applyAlignment="1">
      <alignment horizontal="center"/>
    </xf>
    <xf numFmtId="164" fontId="0" fillId="0" borderId="0" xfId="0" applyNumberFormat="1" applyBorder="1"/>
    <xf numFmtId="164" fontId="72" fillId="0" borderId="0" xfId="0" applyNumberFormat="1" applyFont="1" applyBorder="1"/>
    <xf numFmtId="164" fontId="72" fillId="0" borderId="0" xfId="2" applyNumberFormat="1" applyFont="1" applyBorder="1"/>
    <xf numFmtId="164" fontId="56" fillId="0" borderId="0" xfId="2" applyNumberFormat="1" applyFont="1" applyBorder="1"/>
    <xf numFmtId="164" fontId="71" fillId="4" borderId="0" xfId="0" applyNumberFormat="1" applyFont="1" applyFill="1" applyBorder="1" applyAlignment="1">
      <alignment horizontal="center"/>
    </xf>
    <xf numFmtId="164" fontId="69" fillId="4" borderId="0" xfId="0" applyNumberFormat="1" applyFont="1" applyFill="1" applyBorder="1"/>
    <xf numFmtId="164" fontId="72" fillId="4" borderId="0" xfId="0" applyNumberFormat="1" applyFont="1" applyFill="1" applyBorder="1"/>
    <xf numFmtId="164" fontId="56" fillId="4" borderId="0" xfId="2" applyNumberFormat="1" applyFont="1" applyFill="1" applyBorder="1"/>
    <xf numFmtId="0" fontId="77" fillId="0" borderId="1" xfId="0" applyFont="1" applyBorder="1" applyAlignment="1">
      <alignment horizontal="center" wrapText="1"/>
    </xf>
    <xf numFmtId="0" fontId="77" fillId="0" borderId="0" xfId="0" applyFont="1" applyAlignment="1">
      <alignment wrapText="1"/>
    </xf>
    <xf numFmtId="0" fontId="78" fillId="0" borderId="1" xfId="0" applyFont="1" applyBorder="1" applyAlignment="1">
      <alignment horizontal="center" wrapText="1"/>
    </xf>
    <xf numFmtId="164" fontId="78" fillId="0" borderId="1" xfId="2" applyFont="1" applyBorder="1" applyAlignment="1">
      <alignment horizontal="right" wrapText="1"/>
    </xf>
    <xf numFmtId="0" fontId="78" fillId="0" borderId="1" xfId="0" applyFont="1" applyFill="1" applyBorder="1" applyAlignment="1">
      <alignment horizontal="center" wrapText="1"/>
    </xf>
    <xf numFmtId="164" fontId="78" fillId="0" borderId="1" xfId="2" applyFont="1" applyBorder="1" applyAlignment="1">
      <alignment wrapText="1"/>
    </xf>
    <xf numFmtId="0" fontId="0" fillId="0" borderId="11" xfId="0" applyBorder="1"/>
    <xf numFmtId="0" fontId="0" fillId="0" borderId="11" xfId="0" applyFill="1" applyBorder="1"/>
    <xf numFmtId="0" fontId="77" fillId="0" borderId="1" xfId="0" applyFont="1" applyFill="1" applyBorder="1" applyAlignment="1">
      <alignment horizontal="right" wrapText="1"/>
    </xf>
    <xf numFmtId="0" fontId="77" fillId="0" borderId="1" xfId="0" applyFont="1" applyBorder="1" applyAlignment="1">
      <alignment horizontal="right" wrapText="1"/>
    </xf>
    <xf numFmtId="9" fontId="77" fillId="0" borderId="1" xfId="2" applyNumberFormat="1" applyFont="1" applyBorder="1" applyAlignment="1">
      <alignment wrapText="1"/>
    </xf>
    <xf numFmtId="10" fontId="77" fillId="0" borderId="1" xfId="2" applyNumberFormat="1" applyFont="1" applyBorder="1" applyAlignment="1">
      <alignment wrapText="1"/>
    </xf>
    <xf numFmtId="166" fontId="0" fillId="0" borderId="0" xfId="1" applyNumberFormat="1" applyFont="1"/>
    <xf numFmtId="166" fontId="77" fillId="0" borderId="1" xfId="0" applyNumberFormat="1" applyFont="1" applyBorder="1" applyAlignment="1">
      <alignment wrapText="1"/>
    </xf>
    <xf numFmtId="166" fontId="15" fillId="0" borderId="0" xfId="6" applyNumberFormat="1" applyFont="1" applyFill="1" applyBorder="1" applyAlignment="1">
      <alignment horizontal="center"/>
    </xf>
    <xf numFmtId="166" fontId="21" fillId="2" borderId="1" xfId="0" applyNumberFormat="1" applyFont="1" applyFill="1" applyBorder="1" applyAlignment="1">
      <alignment horizontal="center" wrapText="1"/>
    </xf>
    <xf numFmtId="166" fontId="27" fillId="0" borderId="1" xfId="0" applyNumberFormat="1" applyFont="1" applyFill="1" applyBorder="1"/>
    <xf numFmtId="166" fontId="39" fillId="0" borderId="1" xfId="0" applyNumberFormat="1" applyFont="1" applyFill="1" applyBorder="1" applyAlignment="1">
      <alignment horizontal="center"/>
    </xf>
    <xf numFmtId="166" fontId="29" fillId="0" borderId="1" xfId="0" applyNumberFormat="1" applyFont="1" applyFill="1" applyBorder="1"/>
    <xf numFmtId="166" fontId="30" fillId="0" borderId="1" xfId="0" applyNumberFormat="1" applyFont="1" applyFill="1" applyBorder="1"/>
    <xf numFmtId="166" fontId="29" fillId="0" borderId="0" xfId="0" applyNumberFormat="1" applyFont="1" applyFill="1" applyBorder="1"/>
    <xf numFmtId="166" fontId="27" fillId="0" borderId="0" xfId="0" applyNumberFormat="1" applyFont="1"/>
    <xf numFmtId="166" fontId="6" fillId="0" borderId="0" xfId="0" applyNumberFormat="1" applyFont="1" applyFill="1" applyBorder="1"/>
    <xf numFmtId="166" fontId="4" fillId="0" borderId="0" xfId="1" applyNumberFormat="1" applyFont="1" applyBorder="1"/>
    <xf numFmtId="166" fontId="27" fillId="0" borderId="0" xfId="0" applyNumberFormat="1" applyFont="1" applyFill="1" applyBorder="1"/>
    <xf numFmtId="166" fontId="27" fillId="0" borderId="0" xfId="1" applyNumberFormat="1" applyFont="1"/>
    <xf numFmtId="166" fontId="17" fillId="0" borderId="0" xfId="0" applyNumberFormat="1" applyFont="1"/>
    <xf numFmtId="166" fontId="24" fillId="5" borderId="1" xfId="3" applyNumberFormat="1" applyFont="1" applyFill="1" applyBorder="1" applyAlignment="1">
      <alignment horizontal="center"/>
    </xf>
    <xf numFmtId="166" fontId="29" fillId="0" borderId="1" xfId="3" applyNumberFormat="1" applyFont="1" applyFill="1" applyBorder="1"/>
    <xf numFmtId="166" fontId="30" fillId="0" borderId="1" xfId="0" applyNumberFormat="1" applyFont="1" applyBorder="1"/>
    <xf numFmtId="166" fontId="17" fillId="0" borderId="0" xfId="3" applyNumberFormat="1" applyFont="1" applyFill="1" applyBorder="1"/>
    <xf numFmtId="166" fontId="17" fillId="0" borderId="0" xfId="0" applyNumberFormat="1" applyFont="1" applyFill="1" applyBorder="1"/>
    <xf numFmtId="166" fontId="15" fillId="0" borderId="0" xfId="6" applyNumberFormat="1" applyFont="1" applyFill="1" applyBorder="1" applyAlignment="1"/>
    <xf numFmtId="166" fontId="21" fillId="2" borderId="1" xfId="0" applyNumberFormat="1" applyFont="1" applyFill="1" applyBorder="1" applyAlignment="1">
      <alignment horizontal="center"/>
    </xf>
    <xf numFmtId="166" fontId="14" fillId="0" borderId="0" xfId="0" applyNumberFormat="1" applyFont="1" applyFill="1" applyBorder="1"/>
    <xf numFmtId="166" fontId="14" fillId="0" borderId="0" xfId="9" applyNumberFormat="1" applyFont="1" applyFill="1" applyBorder="1" applyAlignment="1">
      <alignment vertical="center"/>
    </xf>
    <xf numFmtId="166" fontId="77" fillId="0" borderId="0" xfId="0" applyNumberFormat="1" applyFont="1" applyFill="1" applyBorder="1" applyAlignment="1">
      <alignment wrapText="1"/>
    </xf>
    <xf numFmtId="166" fontId="77" fillId="0" borderId="0" xfId="2" applyNumberFormat="1" applyFont="1" applyFill="1" applyBorder="1" applyAlignment="1">
      <alignment wrapText="1"/>
    </xf>
    <xf numFmtId="166" fontId="76" fillId="0" borderId="0" xfId="0" applyNumberFormat="1" applyFont="1" applyFill="1" applyBorder="1" applyAlignment="1">
      <alignment wrapText="1"/>
    </xf>
    <xf numFmtId="166" fontId="0" fillId="0" borderId="0" xfId="0" applyNumberFormat="1" applyFill="1"/>
    <xf numFmtId="166" fontId="14" fillId="0" borderId="0" xfId="0" applyNumberFormat="1" applyFont="1"/>
    <xf numFmtId="2" fontId="27" fillId="7" borderId="1" xfId="0" applyNumberFormat="1" applyFont="1" applyFill="1" applyBorder="1"/>
    <xf numFmtId="164" fontId="41" fillId="0" borderId="1" xfId="2" applyNumberFormat="1" applyFont="1" applyFill="1" applyBorder="1" applyAlignment="1">
      <alignment horizontal="right" vertical="center" wrapText="1"/>
    </xf>
    <xf numFmtId="164" fontId="42" fillId="0" borderId="1" xfId="2" applyNumberFormat="1" applyFont="1" applyFill="1" applyBorder="1" applyAlignment="1">
      <alignment horizontal="right" vertical="center" wrapText="1"/>
    </xf>
    <xf numFmtId="9" fontId="42" fillId="6" borderId="1" xfId="0" applyNumberFormat="1" applyFont="1" applyFill="1" applyBorder="1" applyAlignment="1">
      <alignment horizontal="center" vertical="center" wrapText="1"/>
    </xf>
    <xf numFmtId="173" fontId="29" fillId="0" borderId="1" xfId="9" applyNumberFormat="1" applyFont="1" applyFill="1" applyBorder="1" applyAlignment="1">
      <alignment vertical="center"/>
    </xf>
    <xf numFmtId="173" fontId="30" fillId="0" borderId="1" xfId="9" applyNumberFormat="1" applyFont="1" applyFill="1" applyBorder="1" applyAlignment="1">
      <alignment vertical="center"/>
    </xf>
    <xf numFmtId="4" fontId="30" fillId="0" borderId="1" xfId="3" applyNumberFormat="1" applyFont="1" applyFill="1" applyBorder="1" applyAlignment="1">
      <alignment vertical="center"/>
    </xf>
    <xf numFmtId="4" fontId="30" fillId="0" borderId="1" xfId="9" applyNumberFormat="1" applyFont="1" applyFill="1" applyBorder="1" applyAlignment="1">
      <alignment vertical="center"/>
    </xf>
    <xf numFmtId="4" fontId="29" fillId="0" borderId="1" xfId="9" applyNumberFormat="1" applyFont="1" applyFill="1" applyBorder="1" applyAlignment="1">
      <alignment vertical="center"/>
    </xf>
    <xf numFmtId="4" fontId="31" fillId="0" borderId="1" xfId="3" applyNumberFormat="1" applyFont="1" applyFill="1" applyBorder="1" applyAlignment="1">
      <alignment vertical="center"/>
    </xf>
    <xf numFmtId="4" fontId="6" fillId="0" borderId="1" xfId="3" applyNumberFormat="1" applyFont="1" applyFill="1" applyBorder="1" applyAlignment="1">
      <alignment vertical="center"/>
    </xf>
    <xf numFmtId="164" fontId="43" fillId="2" borderId="1" xfId="0" applyNumberFormat="1" applyFont="1" applyFill="1" applyBorder="1" applyAlignment="1">
      <alignment horizontal="center" vertical="center" wrapText="1"/>
    </xf>
    <xf numFmtId="164" fontId="43" fillId="2" borderId="22" xfId="0" applyNumberFormat="1" applyFont="1" applyFill="1" applyBorder="1" applyAlignment="1">
      <alignment horizontal="center" vertical="center" wrapText="1"/>
    </xf>
    <xf numFmtId="164" fontId="44" fillId="0" borderId="1" xfId="2" applyNumberFormat="1" applyFont="1" applyBorder="1" applyAlignment="1">
      <alignment vertical="center" wrapText="1"/>
    </xf>
    <xf numFmtId="164" fontId="60" fillId="7" borderId="1" xfId="0" applyNumberFormat="1" applyFont="1" applyFill="1" applyBorder="1"/>
    <xf numFmtId="164" fontId="60" fillId="0" borderId="1" xfId="0" applyNumberFormat="1" applyFont="1" applyBorder="1"/>
    <xf numFmtId="164" fontId="59" fillId="0" borderId="1" xfId="2" applyNumberFormat="1" applyFont="1" applyBorder="1" applyAlignment="1">
      <alignment horizontal="center" vertical="center" wrapText="1"/>
    </xf>
    <xf numFmtId="164" fontId="44" fillId="0" borderId="1" xfId="3" applyNumberFormat="1" applyFont="1" applyFill="1" applyBorder="1" applyAlignment="1">
      <alignment horizontal="right" vertical="center" wrapText="1"/>
    </xf>
    <xf numFmtId="164" fontId="59" fillId="0" borderId="1" xfId="3" applyNumberFormat="1" applyFont="1" applyBorder="1" applyAlignment="1">
      <alignment horizontal="right" vertical="center" wrapText="1"/>
    </xf>
    <xf numFmtId="164" fontId="43" fillId="5" borderId="1" xfId="0" applyNumberFormat="1" applyFont="1" applyFill="1" applyBorder="1" applyAlignment="1">
      <alignment horizontal="center" vertical="center"/>
    </xf>
    <xf numFmtId="164" fontId="43" fillId="5" borderId="1" xfId="0" applyNumberFormat="1" applyFont="1" applyFill="1" applyBorder="1" applyAlignment="1">
      <alignment horizontal="center" vertical="center" wrapText="1"/>
    </xf>
    <xf numFmtId="164" fontId="44" fillId="0" borderId="1" xfId="0" applyNumberFormat="1" applyFont="1" applyBorder="1" applyAlignment="1">
      <alignment horizontal="center" vertical="center" wrapText="1"/>
    </xf>
    <xf numFmtId="164" fontId="44" fillId="0" borderId="1" xfId="0" applyNumberFormat="1" applyFont="1" applyFill="1" applyBorder="1" applyAlignment="1">
      <alignment horizontal="left" vertical="center" wrapText="1"/>
    </xf>
    <xf numFmtId="164" fontId="12" fillId="0" borderId="1" xfId="0" applyNumberFormat="1" applyFont="1" applyBorder="1" applyAlignment="1">
      <alignment horizontal="center" vertical="center" wrapText="1"/>
    </xf>
    <xf numFmtId="164" fontId="4" fillId="0" borderId="1" xfId="3" applyNumberFormat="1" applyFont="1" applyFill="1" applyBorder="1" applyAlignment="1">
      <alignment wrapText="1"/>
    </xf>
    <xf numFmtId="164" fontId="6" fillId="0" borderId="1" xfId="3" applyNumberFormat="1" applyFont="1" applyFill="1" applyBorder="1" applyAlignment="1">
      <alignment wrapText="1"/>
    </xf>
    <xf numFmtId="164" fontId="4" fillId="0" borderId="1" xfId="0" applyNumberFormat="1" applyFont="1" applyFill="1" applyBorder="1" applyAlignment="1">
      <alignment wrapText="1"/>
    </xf>
    <xf numFmtId="164" fontId="4" fillId="0" borderId="1" xfId="2" applyNumberFormat="1" applyFont="1" applyFill="1" applyBorder="1" applyAlignment="1">
      <alignment wrapText="1"/>
    </xf>
    <xf numFmtId="164" fontId="4" fillId="4" borderId="1" xfId="3" applyNumberFormat="1" applyFont="1" applyFill="1" applyBorder="1" applyAlignment="1">
      <alignment wrapText="1"/>
    </xf>
    <xf numFmtId="164" fontId="6" fillId="0" borderId="1" xfId="0" applyNumberFormat="1" applyFont="1" applyFill="1" applyBorder="1" applyAlignment="1">
      <alignment wrapText="1"/>
    </xf>
    <xf numFmtId="0" fontId="6" fillId="0" borderId="15" xfId="0" applyFont="1" applyFill="1" applyBorder="1" applyAlignment="1">
      <alignment horizontal="center"/>
    </xf>
    <xf numFmtId="166" fontId="21" fillId="0" borderId="0" xfId="0" applyNumberFormat="1" applyFont="1" applyFill="1" applyBorder="1" applyAlignment="1">
      <alignment horizontal="center" wrapText="1"/>
    </xf>
    <xf numFmtId="166" fontId="0" fillId="0" borderId="0" xfId="0" applyNumberFormat="1" applyFill="1" applyBorder="1"/>
    <xf numFmtId="164" fontId="72" fillId="6" borderId="1" xfId="2" applyFont="1" applyFill="1" applyBorder="1"/>
    <xf numFmtId="164" fontId="69" fillId="6" borderId="1" xfId="0" applyNumberFormat="1" applyFont="1" applyFill="1" applyBorder="1"/>
    <xf numFmtId="4" fontId="27" fillId="0" borderId="1" xfId="0" applyNumberFormat="1" applyFont="1" applyBorder="1"/>
    <xf numFmtId="4" fontId="27" fillId="0" borderId="1" xfId="2" applyNumberFormat="1" applyFont="1" applyBorder="1"/>
    <xf numFmtId="164" fontId="4" fillId="0" borderId="1" xfId="2" applyNumberFormat="1" applyFont="1" applyBorder="1" applyAlignment="1">
      <alignment horizontal="center"/>
    </xf>
    <xf numFmtId="164" fontId="29" fillId="0" borderId="1" xfId="0" applyNumberFormat="1" applyFont="1" applyFill="1" applyBorder="1" applyAlignment="1">
      <alignment horizontal="center"/>
    </xf>
    <xf numFmtId="164" fontId="0" fillId="0" borderId="1" xfId="0" applyNumberFormat="1" applyFont="1" applyBorder="1"/>
    <xf numFmtId="164" fontId="0" fillId="0" borderId="1" xfId="2" applyNumberFormat="1" applyFont="1" applyBorder="1"/>
    <xf numFmtId="164" fontId="0" fillId="0" borderId="1" xfId="2" applyNumberFormat="1" applyFont="1" applyBorder="1" applyAlignment="1"/>
    <xf numFmtId="164" fontId="0" fillId="0" borderId="1" xfId="0" applyNumberFormat="1" applyFont="1" applyBorder="1" applyAlignment="1">
      <alignment horizontal="center" vertical="center"/>
    </xf>
    <xf numFmtId="164" fontId="2" fillId="0" borderId="1" xfId="2" applyNumberFormat="1" applyFont="1" applyBorder="1" applyAlignment="1"/>
    <xf numFmtId="164" fontId="2" fillId="0" borderId="1" xfId="0" applyNumberFormat="1" applyFont="1" applyBorder="1" applyAlignment="1"/>
    <xf numFmtId="164" fontId="4" fillId="0" borderId="1" xfId="2" applyNumberFormat="1" applyFont="1" applyFill="1" applyBorder="1"/>
    <xf numFmtId="164" fontId="6" fillId="0" borderId="1" xfId="2" applyNumberFormat="1" applyFont="1" applyFill="1" applyBorder="1"/>
    <xf numFmtId="164" fontId="4" fillId="0" borderId="0" xfId="10" applyNumberFormat="1" applyFont="1" applyFill="1"/>
    <xf numFmtId="164" fontId="21" fillId="5" borderId="1" xfId="0" applyNumberFormat="1" applyFont="1" applyFill="1" applyBorder="1" applyAlignment="1">
      <alignment horizontal="center"/>
    </xf>
    <xf numFmtId="164" fontId="4" fillId="0" borderId="1" xfId="10" applyNumberFormat="1" applyFont="1" applyFill="1" applyBorder="1"/>
    <xf numFmtId="1" fontId="0" fillId="0" borderId="0" xfId="0" applyNumberFormat="1"/>
    <xf numFmtId="164" fontId="0" fillId="0" borderId="1" xfId="2" applyFont="1" applyBorder="1"/>
    <xf numFmtId="171" fontId="54" fillId="7" borderId="1" xfId="0" applyNumberFormat="1" applyFont="1" applyFill="1" applyBorder="1"/>
    <xf numFmtId="0" fontId="6" fillId="0" borderId="0" xfId="0" applyFont="1" applyFill="1" applyBorder="1" applyAlignment="1">
      <alignment horizontal="left" wrapText="1"/>
    </xf>
    <xf numFmtId="164" fontId="6" fillId="0" borderId="0" xfId="0" applyNumberFormat="1" applyFont="1" applyFill="1" applyBorder="1" applyAlignment="1">
      <alignment wrapText="1"/>
    </xf>
    <xf numFmtId="164" fontId="27" fillId="0" borderId="1" xfId="2" applyNumberFormat="1" applyFont="1" applyFill="1" applyBorder="1"/>
    <xf numFmtId="164" fontId="0" fillId="0" borderId="0" xfId="0" applyNumberFormat="1" applyFill="1"/>
    <xf numFmtId="164" fontId="28" fillId="0" borderId="1" xfId="2" applyNumberFormat="1" applyFont="1" applyFill="1" applyBorder="1"/>
    <xf numFmtId="164" fontId="0" fillId="0" borderId="1" xfId="0" applyNumberFormat="1" applyFill="1" applyBorder="1"/>
    <xf numFmtId="164" fontId="27" fillId="0" borderId="0" xfId="0" applyNumberFormat="1" applyFont="1" applyFill="1"/>
    <xf numFmtId="164" fontId="77" fillId="0" borderId="1" xfId="0" applyNumberFormat="1" applyFont="1" applyFill="1" applyBorder="1" applyAlignment="1">
      <alignment wrapText="1"/>
    </xf>
    <xf numFmtId="164" fontId="77" fillId="0" borderId="15" xfId="0" applyNumberFormat="1" applyFont="1" applyFill="1" applyBorder="1" applyAlignment="1">
      <alignment wrapText="1"/>
    </xf>
    <xf numFmtId="0" fontId="81" fillId="2" borderId="1" xfId="0" applyFont="1" applyFill="1" applyBorder="1"/>
    <xf numFmtId="164" fontId="73" fillId="14" borderId="1" xfId="0" applyNumberFormat="1" applyFont="1" applyFill="1" applyBorder="1"/>
    <xf numFmtId="0" fontId="82" fillId="14" borderId="0" xfId="0" applyFont="1" applyFill="1"/>
    <xf numFmtId="0" fontId="71" fillId="14" borderId="1" xfId="0" applyFont="1" applyFill="1" applyBorder="1"/>
    <xf numFmtId="0" fontId="71" fillId="14" borderId="1" xfId="0" applyFont="1" applyFill="1" applyBorder="1" applyAlignment="1">
      <alignment horizontal="center"/>
    </xf>
    <xf numFmtId="164" fontId="71" fillId="14" borderId="1" xfId="0" applyNumberFormat="1" applyFont="1" applyFill="1" applyBorder="1" applyAlignment="1">
      <alignment horizontal="center"/>
    </xf>
    <xf numFmtId="164" fontId="71" fillId="14" borderId="0" xfId="0" applyNumberFormat="1" applyFont="1" applyFill="1" applyBorder="1" applyAlignment="1">
      <alignment horizontal="center"/>
    </xf>
    <xf numFmtId="0" fontId="83" fillId="14" borderId="0" xfId="0" applyFont="1" applyFill="1"/>
    <xf numFmtId="0" fontId="79" fillId="14" borderId="1" xfId="0" applyFont="1" applyFill="1" applyBorder="1" applyAlignment="1"/>
    <xf numFmtId="0" fontId="79" fillId="14" borderId="1" xfId="0" applyFont="1" applyFill="1" applyBorder="1" applyAlignment="1">
      <alignment horizontal="center"/>
    </xf>
    <xf numFmtId="0" fontId="79" fillId="14" borderId="1" xfId="0" applyFont="1" applyFill="1" applyBorder="1" applyAlignment="1">
      <alignment horizontal="center" wrapText="1"/>
    </xf>
    <xf numFmtId="0" fontId="58" fillId="14" borderId="0" xfId="0" applyFont="1" applyFill="1"/>
    <xf numFmtId="164" fontId="58" fillId="14" borderId="0" xfId="0" applyNumberFormat="1" applyFont="1" applyFill="1"/>
    <xf numFmtId="10" fontId="0" fillId="0" borderId="1" xfId="1" applyNumberFormat="1" applyFont="1" applyBorder="1"/>
    <xf numFmtId="0" fontId="26" fillId="0" borderId="0" xfId="0" applyFont="1" applyBorder="1" applyAlignment="1"/>
    <xf numFmtId="0" fontId="82" fillId="0" borderId="0" xfId="0" applyFont="1" applyFill="1"/>
    <xf numFmtId="0" fontId="26" fillId="0" borderId="0" xfId="0" applyFont="1" applyAlignment="1">
      <alignment horizontal="center"/>
    </xf>
    <xf numFmtId="0" fontId="70" fillId="6" borderId="1" xfId="0" applyFont="1" applyFill="1" applyBorder="1"/>
    <xf numFmtId="0" fontId="69" fillId="12" borderId="0" xfId="0" applyFont="1" applyFill="1" applyAlignment="1">
      <alignment horizontal="center"/>
    </xf>
    <xf numFmtId="0" fontId="71" fillId="12" borderId="0" xfId="0" applyFont="1" applyFill="1"/>
    <xf numFmtId="0" fontId="69" fillId="0" borderId="0" xfId="0" applyFont="1"/>
    <xf numFmtId="0" fontId="70" fillId="0" borderId="0" xfId="0" applyFont="1" applyAlignment="1">
      <alignment horizontal="center"/>
    </xf>
    <xf numFmtId="0" fontId="70" fillId="0" borderId="0" xfId="0" applyFont="1"/>
    <xf numFmtId="0" fontId="69" fillId="0" borderId="0" xfId="0" applyFont="1" applyAlignment="1">
      <alignment horizontal="right"/>
    </xf>
    <xf numFmtId="0" fontId="69" fillId="0" borderId="0" xfId="0" applyFont="1" applyAlignment="1">
      <alignment horizontal="center"/>
    </xf>
    <xf numFmtId="10" fontId="69" fillId="0" borderId="0" xfId="0" applyNumberFormat="1" applyFont="1"/>
    <xf numFmtId="9" fontId="69" fillId="0" borderId="0" xfId="0" applyNumberFormat="1" applyFont="1"/>
    <xf numFmtId="9" fontId="56" fillId="0" borderId="0" xfId="0" applyNumberFormat="1" applyFont="1" applyBorder="1" applyAlignment="1">
      <alignment horizontal="right"/>
    </xf>
    <xf numFmtId="10" fontId="72" fillId="0" borderId="0" xfId="0" applyNumberFormat="1" applyFont="1" applyBorder="1"/>
    <xf numFmtId="0" fontId="69" fillId="0" borderId="0" xfId="0" applyFont="1" applyBorder="1" applyAlignment="1">
      <alignment horizontal="right" wrapText="1"/>
    </xf>
    <xf numFmtId="0" fontId="69" fillId="6" borderId="0" xfId="0" applyFont="1" applyFill="1"/>
    <xf numFmtId="176" fontId="72" fillId="0" borderId="1" xfId="0" applyNumberFormat="1" applyFont="1" applyBorder="1"/>
    <xf numFmtId="0" fontId="56" fillId="0" borderId="0" xfId="0" applyFont="1" applyBorder="1"/>
    <xf numFmtId="9" fontId="56" fillId="15" borderId="1" xfId="0" applyNumberFormat="1" applyFont="1" applyFill="1" applyBorder="1" applyAlignment="1">
      <alignment horizontal="right"/>
    </xf>
    <xf numFmtId="170" fontId="69" fillId="15" borderId="1" xfId="2" applyNumberFormat="1" applyFont="1" applyFill="1" applyBorder="1"/>
    <xf numFmtId="0" fontId="69" fillId="15" borderId="1" xfId="0" applyFont="1" applyFill="1" applyBorder="1"/>
    <xf numFmtId="9" fontId="69" fillId="15" borderId="0" xfId="0" applyNumberFormat="1" applyFont="1" applyFill="1"/>
    <xf numFmtId="10" fontId="69" fillId="15" borderId="0" xfId="1" applyNumberFormat="1" applyFont="1" applyFill="1"/>
    <xf numFmtId="0" fontId="70" fillId="15" borderId="1" xfId="0" applyFont="1" applyFill="1" applyBorder="1"/>
    <xf numFmtId="0" fontId="56" fillId="15" borderId="1" xfId="0" applyFont="1" applyFill="1" applyBorder="1"/>
    <xf numFmtId="0" fontId="72" fillId="15" borderId="1" xfId="0" applyFont="1" applyFill="1" applyBorder="1"/>
    <xf numFmtId="164" fontId="72" fillId="15" borderId="1" xfId="2" applyFont="1" applyFill="1" applyBorder="1"/>
    <xf numFmtId="164" fontId="69" fillId="0" borderId="0" xfId="2" applyFont="1"/>
    <xf numFmtId="170" fontId="72" fillId="15" borderId="1" xfId="2" applyNumberFormat="1" applyFont="1" applyFill="1" applyBorder="1" applyAlignment="1">
      <alignment horizontal="right"/>
    </xf>
    <xf numFmtId="13" fontId="72" fillId="15" borderId="1" xfId="2" applyNumberFormat="1" applyFont="1" applyFill="1" applyBorder="1" applyAlignment="1">
      <alignment horizontal="right"/>
    </xf>
    <xf numFmtId="170" fontId="72" fillId="0" borderId="1" xfId="0" applyNumberFormat="1" applyFont="1" applyFill="1" applyBorder="1"/>
    <xf numFmtId="170" fontId="72" fillId="0" borderId="11" xfId="0" applyNumberFormat="1" applyFont="1" applyFill="1" applyBorder="1"/>
    <xf numFmtId="0" fontId="70" fillId="6" borderId="0" xfId="0" applyFont="1" applyFill="1"/>
    <xf numFmtId="170" fontId="69" fillId="16" borderId="1" xfId="2" applyNumberFormat="1" applyFont="1" applyFill="1" applyBorder="1"/>
    <xf numFmtId="0" fontId="69" fillId="16" borderId="0" xfId="0" applyFont="1" applyFill="1"/>
    <xf numFmtId="0" fontId="56" fillId="16" borderId="1" xfId="0" applyFont="1" applyFill="1" applyBorder="1"/>
    <xf numFmtId="0" fontId="73" fillId="12" borderId="1" xfId="0" applyFont="1" applyFill="1" applyBorder="1" applyAlignment="1">
      <alignment horizontal="center"/>
    </xf>
    <xf numFmtId="0" fontId="71" fillId="12" borderId="1" xfId="0" applyFont="1" applyFill="1" applyBorder="1" applyAlignment="1">
      <alignment horizontal="center"/>
    </xf>
    <xf numFmtId="164" fontId="2" fillId="0" borderId="1" xfId="0" applyNumberFormat="1" applyFont="1" applyBorder="1"/>
    <xf numFmtId="0" fontId="84" fillId="14" borderId="0" xfId="0" applyFont="1" applyFill="1"/>
    <xf numFmtId="0" fontId="71" fillId="12" borderId="15" xfId="0" applyFont="1" applyFill="1" applyBorder="1" applyAlignment="1">
      <alignment horizontal="center"/>
    </xf>
    <xf numFmtId="0" fontId="72" fillId="0" borderId="15" xfId="0" applyFont="1" applyBorder="1"/>
    <xf numFmtId="164" fontId="2" fillId="0" borderId="0" xfId="0" applyNumberFormat="1" applyFont="1" applyBorder="1"/>
    <xf numFmtId="0" fontId="71" fillId="12" borderId="11" xfId="0" applyFont="1" applyFill="1" applyBorder="1" applyAlignment="1">
      <alignment horizontal="center"/>
    </xf>
    <xf numFmtId="0" fontId="72" fillId="0" borderId="11" xfId="0" applyFont="1" applyBorder="1"/>
    <xf numFmtId="164" fontId="72" fillId="0" borderId="11" xfId="2" applyFont="1" applyBorder="1"/>
    <xf numFmtId="164" fontId="56" fillId="0" borderId="11" xfId="2" applyFont="1" applyBorder="1"/>
    <xf numFmtId="164" fontId="2" fillId="0" borderId="11" xfId="0" applyNumberFormat="1" applyFont="1" applyBorder="1"/>
    <xf numFmtId="0" fontId="85" fillId="13" borderId="13" xfId="0" applyFont="1" applyFill="1" applyBorder="1" applyAlignment="1"/>
    <xf numFmtId="0" fontId="56" fillId="0" borderId="1" xfId="0" applyFont="1" applyFill="1" applyBorder="1" applyAlignment="1">
      <alignment wrapText="1"/>
    </xf>
    <xf numFmtId="0" fontId="53" fillId="0" borderId="0" xfId="0" applyFont="1" applyAlignment="1">
      <alignment wrapText="1"/>
    </xf>
    <xf numFmtId="0" fontId="49" fillId="0" borderId="0" xfId="0" applyFont="1" applyAlignment="1">
      <alignment wrapText="1"/>
    </xf>
    <xf numFmtId="164" fontId="46" fillId="0" borderId="0" xfId="0" applyNumberFormat="1" applyFont="1" applyAlignment="1">
      <alignment wrapText="1"/>
    </xf>
    <xf numFmtId="0" fontId="47" fillId="0" borderId="0" xfId="0" applyFont="1" applyAlignment="1">
      <alignment wrapText="1"/>
    </xf>
    <xf numFmtId="0" fontId="13" fillId="0" borderId="0" xfId="0" applyFont="1" applyAlignment="1">
      <alignment wrapText="1"/>
    </xf>
    <xf numFmtId="0" fontId="55" fillId="0" borderId="0" xfId="0" applyFont="1" applyAlignment="1">
      <alignment wrapText="1"/>
    </xf>
    <xf numFmtId="1" fontId="0" fillId="0" borderId="1" xfId="0" applyNumberFormat="1" applyBorder="1"/>
    <xf numFmtId="10" fontId="44" fillId="0" borderId="1" xfId="1" applyNumberFormat="1" applyFont="1" applyBorder="1" applyAlignment="1">
      <alignment horizontal="center" vertical="center" wrapText="1"/>
    </xf>
    <xf numFmtId="0" fontId="6" fillId="0" borderId="20" xfId="0" applyFont="1" applyBorder="1"/>
    <xf numFmtId="173" fontId="30" fillId="0" borderId="20" xfId="9" applyNumberFormat="1" applyFont="1" applyFill="1" applyBorder="1" applyAlignment="1">
      <alignment vertical="center"/>
    </xf>
    <xf numFmtId="0" fontId="18" fillId="0" borderId="0" xfId="0" applyFont="1" applyBorder="1"/>
    <xf numFmtId="0" fontId="14" fillId="0" borderId="0" xfId="0" applyFont="1" applyBorder="1"/>
    <xf numFmtId="0" fontId="18" fillId="0" borderId="23" xfId="0" applyFont="1" applyBorder="1"/>
    <xf numFmtId="0" fontId="17" fillId="0" borderId="23" xfId="0" applyFont="1" applyFill="1" applyBorder="1"/>
    <xf numFmtId="1" fontId="69" fillId="0" borderId="1" xfId="0" applyNumberFormat="1" applyFont="1" applyBorder="1"/>
    <xf numFmtId="0" fontId="0" fillId="0" borderId="0" xfId="0" applyAlignment="1">
      <alignment horizontal="center"/>
    </xf>
    <xf numFmtId="9" fontId="54" fillId="7" borderId="1" xfId="1" applyFont="1" applyFill="1" applyBorder="1"/>
    <xf numFmtId="0" fontId="2" fillId="0" borderId="0" xfId="0" applyFont="1" applyAlignment="1">
      <alignment horizontal="center"/>
    </xf>
    <xf numFmtId="164" fontId="27" fillId="0" borderId="1" xfId="0" applyNumberFormat="1" applyFont="1" applyBorder="1" applyAlignment="1">
      <alignment wrapText="1"/>
    </xf>
    <xf numFmtId="164" fontId="27" fillId="0" borderId="0" xfId="2" applyNumberFormat="1" applyFont="1" applyBorder="1"/>
    <xf numFmtId="164" fontId="30" fillId="0" borderId="1" xfId="2" applyFont="1" applyFill="1" applyBorder="1" applyAlignment="1">
      <alignment vertical="center"/>
    </xf>
    <xf numFmtId="164" fontId="30" fillId="0" borderId="5" xfId="0" applyNumberFormat="1" applyFont="1" applyFill="1" applyBorder="1" applyAlignment="1">
      <alignment horizontal="left" vertical="center" wrapText="1"/>
    </xf>
    <xf numFmtId="9" fontId="44" fillId="7" borderId="1" xfId="3" applyNumberFormat="1" applyFont="1" applyFill="1" applyBorder="1" applyAlignment="1">
      <alignment horizontal="right" vertical="center" wrapText="1"/>
    </xf>
    <xf numFmtId="2" fontId="28" fillId="0" borderId="2" xfId="0" applyNumberFormat="1" applyFont="1" applyFill="1" applyBorder="1"/>
    <xf numFmtId="177" fontId="0" fillId="0" borderId="0" xfId="0" applyNumberFormat="1"/>
    <xf numFmtId="164" fontId="43" fillId="2" borderId="0" xfId="0" applyNumberFormat="1" applyFont="1" applyFill="1" applyBorder="1" applyAlignment="1">
      <alignment horizontal="center" vertical="center" wrapText="1"/>
    </xf>
    <xf numFmtId="0" fontId="42" fillId="6" borderId="1" xfId="0" applyFont="1" applyFill="1" applyBorder="1" applyAlignment="1">
      <alignment horizontal="center" vertical="center" wrapText="1"/>
    </xf>
    <xf numFmtId="164" fontId="29" fillId="6" borderId="1" xfId="2" applyNumberFormat="1" applyFont="1" applyFill="1" applyBorder="1" applyAlignment="1">
      <alignment vertical="center" wrapText="1"/>
    </xf>
    <xf numFmtId="164" fontId="21" fillId="2" borderId="1" xfId="2" applyFont="1" applyFill="1" applyBorder="1"/>
    <xf numFmtId="164" fontId="21" fillId="2" borderId="1" xfId="2" applyFont="1" applyFill="1" applyBorder="1" applyAlignment="1">
      <alignment horizontal="right"/>
    </xf>
    <xf numFmtId="164" fontId="27" fillId="0" borderId="1" xfId="2" applyFont="1" applyBorder="1"/>
    <xf numFmtId="0" fontId="42" fillId="6" borderId="1" xfId="0" applyFont="1" applyFill="1" applyBorder="1" applyAlignment="1">
      <alignment horizontal="center" vertical="center" wrapText="1"/>
    </xf>
    <xf numFmtId="0" fontId="56" fillId="0" borderId="21" xfId="0" applyFont="1" applyBorder="1" applyAlignment="1">
      <alignment horizontal="center"/>
    </xf>
    <xf numFmtId="0" fontId="56" fillId="0" borderId="21" xfId="0" applyFont="1" applyBorder="1" applyAlignment="1">
      <alignment horizontal="center"/>
    </xf>
    <xf numFmtId="164" fontId="56" fillId="0" borderId="21" xfId="0" applyNumberFormat="1" applyFont="1" applyBorder="1" applyAlignment="1">
      <alignment horizontal="center"/>
    </xf>
    <xf numFmtId="0" fontId="26" fillId="0" borderId="0" xfId="0" applyFont="1" applyAlignment="1">
      <alignment horizontal="center" wrapText="1"/>
    </xf>
    <xf numFmtId="43" fontId="69" fillId="0" borderId="1" xfId="0" applyNumberFormat="1" applyFont="1" applyBorder="1"/>
    <xf numFmtId="0" fontId="72" fillId="0" borderId="20" xfId="0" applyFont="1" applyBorder="1"/>
    <xf numFmtId="0" fontId="42" fillId="6" borderId="1" xfId="0" applyFont="1" applyFill="1" applyBorder="1" applyAlignment="1">
      <alignment horizontal="center" vertical="center" wrapText="1"/>
    </xf>
    <xf numFmtId="0" fontId="68" fillId="0" borderId="15" xfId="0" applyFont="1" applyBorder="1"/>
    <xf numFmtId="43" fontId="56" fillId="0" borderId="21" xfId="0" applyNumberFormat="1" applyFont="1" applyBorder="1" applyAlignment="1">
      <alignment horizontal="center"/>
    </xf>
    <xf numFmtId="0" fontId="68" fillId="6" borderId="15" xfId="0" applyFont="1" applyFill="1" applyBorder="1"/>
    <xf numFmtId="0" fontId="56" fillId="6" borderId="21" xfId="0" applyFont="1" applyFill="1" applyBorder="1" applyAlignment="1">
      <alignment horizontal="center"/>
    </xf>
    <xf numFmtId="164" fontId="56" fillId="6" borderId="21" xfId="0" applyNumberFormat="1" applyFont="1" applyFill="1" applyBorder="1" applyAlignment="1">
      <alignment horizontal="center"/>
    </xf>
    <xf numFmtId="0" fontId="88" fillId="0" borderId="15" xfId="0" applyFont="1" applyBorder="1"/>
    <xf numFmtId="0" fontId="73" fillId="17" borderId="24" xfId="0" applyFont="1" applyFill="1" applyBorder="1" applyAlignment="1">
      <alignment horizontal="center" wrapText="1"/>
    </xf>
    <xf numFmtId="0" fontId="73" fillId="17" borderId="11" xfId="0" applyFont="1" applyFill="1" applyBorder="1" applyAlignment="1">
      <alignment horizontal="center" wrapText="1"/>
    </xf>
    <xf numFmtId="0" fontId="73" fillId="17" borderId="2" xfId="0" applyFont="1" applyFill="1" applyBorder="1" applyAlignment="1">
      <alignment horizontal="center" wrapText="1"/>
    </xf>
    <xf numFmtId="0" fontId="73" fillId="17" borderId="12" xfId="0" applyFont="1" applyFill="1" applyBorder="1" applyAlignment="1">
      <alignment horizontal="center" wrapText="1"/>
    </xf>
    <xf numFmtId="0" fontId="73" fillId="17" borderId="14" xfId="0" applyFont="1" applyFill="1" applyBorder="1" applyAlignment="1">
      <alignment horizontal="center" wrapText="1"/>
    </xf>
    <xf numFmtId="0" fontId="73" fillId="17" borderId="25" xfId="0" applyFont="1" applyFill="1" applyBorder="1" applyAlignment="1">
      <alignment horizontal="center" wrapText="1"/>
    </xf>
    <xf numFmtId="0" fontId="69" fillId="0" borderId="1" xfId="0" applyFont="1" applyBorder="1" applyAlignment="1">
      <alignment horizontal="right" wrapText="1"/>
    </xf>
    <xf numFmtId="9" fontId="69" fillId="0" borderId="1" xfId="0" applyNumberFormat="1" applyFont="1" applyBorder="1" applyAlignment="1">
      <alignment wrapText="1"/>
    </xf>
    <xf numFmtId="10" fontId="69" fillId="0" borderId="1" xfId="0" applyNumberFormat="1" applyFont="1" applyBorder="1" applyAlignment="1">
      <alignment wrapText="1"/>
    </xf>
    <xf numFmtId="0" fontId="70" fillId="0" borderId="1" xfId="0" applyFont="1" applyBorder="1" applyAlignment="1">
      <alignment wrapText="1"/>
    </xf>
    <xf numFmtId="2" fontId="70" fillId="0" borderId="1" xfId="0" applyNumberFormat="1" applyFont="1" applyBorder="1" applyAlignment="1">
      <alignment wrapText="1"/>
    </xf>
    <xf numFmtId="0" fontId="72" fillId="6" borderId="1" xfId="0" applyFont="1" applyFill="1" applyBorder="1"/>
    <xf numFmtId="1" fontId="72" fillId="6" borderId="1" xfId="0" applyNumberFormat="1" applyFont="1" applyFill="1" applyBorder="1"/>
    <xf numFmtId="164" fontId="72" fillId="6" borderId="1" xfId="0" applyNumberFormat="1" applyFont="1" applyFill="1" applyBorder="1"/>
    <xf numFmtId="10" fontId="69" fillId="6" borderId="0" xfId="1" applyNumberFormat="1" applyFont="1" applyFill="1"/>
    <xf numFmtId="164" fontId="0" fillId="6" borderId="0" xfId="0" applyNumberFormat="1" applyFill="1"/>
    <xf numFmtId="0" fontId="0" fillId="6" borderId="0" xfId="0" applyFill="1"/>
    <xf numFmtId="0" fontId="69" fillId="6" borderId="1" xfId="0" applyFont="1" applyFill="1" applyBorder="1"/>
    <xf numFmtId="164" fontId="69" fillId="6" borderId="0" xfId="0" applyNumberFormat="1" applyFont="1" applyFill="1"/>
    <xf numFmtId="170" fontId="0" fillId="0" borderId="0" xfId="2" applyNumberFormat="1" applyFont="1"/>
    <xf numFmtId="0" fontId="9" fillId="0" borderId="0" xfId="0" applyFont="1" applyAlignment="1">
      <alignment horizontal="left" vertical="center" wrapText="1"/>
    </xf>
    <xf numFmtId="0" fontId="67" fillId="0" borderId="13" xfId="0" applyFont="1" applyBorder="1" applyAlignment="1">
      <alignment horizontal="center" vertical="center" wrapText="1"/>
    </xf>
    <xf numFmtId="0" fontId="63" fillId="8" borderId="1" xfId="0" applyFont="1" applyFill="1" applyBorder="1" applyAlignment="1">
      <alignment horizontal="center" vertical="center" wrapText="1"/>
    </xf>
    <xf numFmtId="0" fontId="61" fillId="10" borderId="1" xfId="0" applyFont="1" applyFill="1" applyBorder="1" applyAlignment="1">
      <alignment horizontal="left" vertical="center" wrapText="1"/>
    </xf>
    <xf numFmtId="0" fontId="0" fillId="0" borderId="1" xfId="0" applyBorder="1" applyAlignment="1">
      <alignment horizontal="left" vertical="center" wrapText="1"/>
    </xf>
    <xf numFmtId="0" fontId="2" fillId="0" borderId="1" xfId="0" applyFont="1" applyBorder="1" applyAlignment="1">
      <alignment horizontal="left" vertical="center" wrapText="1"/>
    </xf>
    <xf numFmtId="0" fontId="0" fillId="0" borderId="21" xfId="0" applyFill="1" applyBorder="1" applyAlignment="1">
      <alignment horizontal="center" vertical="center" wrapText="1"/>
    </xf>
    <xf numFmtId="0" fontId="0" fillId="0" borderId="16" xfId="0" applyFill="1" applyBorder="1" applyAlignment="1">
      <alignment horizontal="center" vertical="center" wrapText="1"/>
    </xf>
    <xf numFmtId="0" fontId="0" fillId="0" borderId="20" xfId="0" applyBorder="1" applyAlignment="1">
      <alignment horizontal="left" vertical="center" wrapText="1"/>
    </xf>
    <xf numFmtId="0" fontId="0" fillId="0" borderId="2" xfId="0" applyBorder="1" applyAlignment="1">
      <alignment horizontal="left" vertical="center" wrapText="1"/>
    </xf>
    <xf numFmtId="0" fontId="0" fillId="0" borderId="14" xfId="0" applyBorder="1" applyAlignment="1">
      <alignment horizontal="left" vertical="center" wrapText="1"/>
    </xf>
    <xf numFmtId="0" fontId="0" fillId="0" borderId="15" xfId="0" applyBorder="1" applyAlignment="1">
      <alignment horizontal="left" vertical="center" wrapText="1"/>
    </xf>
    <xf numFmtId="0" fontId="0" fillId="0" borderId="21" xfId="0" applyBorder="1" applyAlignment="1">
      <alignment horizontal="left" vertical="center" wrapText="1"/>
    </xf>
    <xf numFmtId="0" fontId="0" fillId="0" borderId="16" xfId="0" applyBorder="1" applyAlignment="1">
      <alignment horizontal="left" vertical="center" wrapText="1"/>
    </xf>
    <xf numFmtId="0" fontId="61" fillId="9" borderId="1" xfId="0" applyFont="1" applyFill="1" applyBorder="1" applyAlignment="1">
      <alignment horizontal="left" vertical="center" wrapText="1"/>
    </xf>
    <xf numFmtId="0" fontId="2" fillId="0" borderId="15" xfId="0" applyFont="1" applyBorder="1" applyAlignment="1">
      <alignment horizontal="left" vertical="center" wrapText="1"/>
    </xf>
    <xf numFmtId="0" fontId="2" fillId="0" borderId="21" xfId="0" applyFont="1" applyBorder="1" applyAlignment="1">
      <alignment horizontal="left" vertical="center" wrapText="1"/>
    </xf>
    <xf numFmtId="0" fontId="2" fillId="0" borderId="16" xfId="0" applyFont="1" applyBorder="1" applyAlignment="1">
      <alignment horizontal="left" vertical="center" wrapText="1"/>
    </xf>
    <xf numFmtId="0" fontId="43" fillId="5" borderId="12" xfId="0" applyFont="1" applyFill="1" applyBorder="1" applyAlignment="1">
      <alignment horizontal="center" vertical="center" wrapText="1"/>
    </xf>
    <xf numFmtId="0" fontId="43" fillId="5" borderId="13" xfId="0" applyFont="1" applyFill="1" applyBorder="1" applyAlignment="1">
      <alignment horizontal="center" vertical="center" wrapText="1"/>
    </xf>
    <xf numFmtId="0" fontId="26" fillId="0" borderId="0" xfId="0" applyFont="1" applyBorder="1" applyAlignment="1">
      <alignment horizontal="center"/>
    </xf>
    <xf numFmtId="0" fontId="59" fillId="0" borderId="1" xfId="0" applyFont="1" applyBorder="1" applyAlignment="1">
      <alignment horizontal="center" vertical="center" wrapText="1"/>
    </xf>
    <xf numFmtId="0" fontId="26" fillId="0" borderId="0" xfId="0" applyFont="1" applyAlignment="1">
      <alignment horizontal="center"/>
    </xf>
    <xf numFmtId="0" fontId="2" fillId="0" borderId="0" xfId="0" applyFont="1" applyAlignment="1">
      <alignment horizontal="center"/>
    </xf>
    <xf numFmtId="0" fontId="51" fillId="0" borderId="0" xfId="0" applyFont="1" applyAlignment="1">
      <alignment horizontal="center" wrapText="1"/>
    </xf>
    <xf numFmtId="0" fontId="28" fillId="0" borderId="1" xfId="0" applyFont="1" applyBorder="1" applyAlignment="1">
      <alignment horizontal="center" vertical="center" wrapText="1"/>
    </xf>
    <xf numFmtId="0" fontId="42" fillId="0" borderId="1" xfId="0" applyFont="1" applyBorder="1" applyAlignment="1">
      <alignment horizontal="center" vertical="center" wrapText="1"/>
    </xf>
    <xf numFmtId="0" fontId="42" fillId="6" borderId="1" xfId="0" applyFont="1" applyFill="1" applyBorder="1" applyAlignment="1">
      <alignment horizontal="center" vertical="center" wrapText="1"/>
    </xf>
    <xf numFmtId="0" fontId="42" fillId="0" borderId="3" xfId="0" applyFont="1" applyBorder="1" applyAlignment="1">
      <alignment horizontal="center" vertical="center" wrapText="1"/>
    </xf>
    <xf numFmtId="0" fontId="42" fillId="0" borderId="4" xfId="0" applyFont="1" applyBorder="1" applyAlignment="1">
      <alignment horizontal="center" vertical="center" wrapText="1"/>
    </xf>
    <xf numFmtId="0" fontId="53" fillId="0" borderId="0" xfId="0" applyFont="1" applyAlignment="1">
      <alignment horizontal="center" wrapText="1"/>
    </xf>
    <xf numFmtId="0" fontId="2" fillId="7" borderId="0" xfId="0" applyFont="1" applyFill="1" applyAlignment="1">
      <alignment horizontal="center"/>
    </xf>
    <xf numFmtId="0" fontId="13" fillId="0" borderId="1" xfId="0" applyFont="1" applyBorder="1" applyAlignment="1">
      <alignment horizontal="center" vertical="center" wrapText="1"/>
    </xf>
    <xf numFmtId="0" fontId="37" fillId="0" borderId="0" xfId="6" applyFont="1" applyFill="1" applyBorder="1" applyAlignment="1">
      <alignment horizontal="center"/>
    </xf>
    <xf numFmtId="0" fontId="14" fillId="0" borderId="0" xfId="0" applyFont="1" applyAlignment="1">
      <alignment horizontal="center" vertical="center" wrapText="1"/>
    </xf>
    <xf numFmtId="0" fontId="15" fillId="0" borderId="0" xfId="6" applyFont="1" applyFill="1" applyBorder="1" applyAlignment="1">
      <alignment horizontal="center"/>
    </xf>
    <xf numFmtId="166" fontId="28" fillId="0" borderId="13" xfId="0" applyNumberFormat="1" applyFont="1" applyBorder="1" applyAlignment="1">
      <alignment horizontal="center"/>
    </xf>
    <xf numFmtId="166" fontId="2" fillId="0" borderId="13" xfId="0" applyNumberFormat="1" applyFont="1" applyBorder="1" applyAlignment="1">
      <alignment horizontal="center"/>
    </xf>
    <xf numFmtId="0" fontId="26" fillId="0" borderId="19" xfId="0" applyFont="1" applyBorder="1" applyAlignment="1">
      <alignment horizontal="center"/>
    </xf>
    <xf numFmtId="0" fontId="2" fillId="0" borderId="0" xfId="0" applyFont="1" applyAlignment="1">
      <alignment horizontal="center" wrapText="1"/>
    </xf>
    <xf numFmtId="0" fontId="30" fillId="6" borderId="0" xfId="0" applyFont="1" applyFill="1" applyAlignment="1">
      <alignment horizontal="center"/>
    </xf>
    <xf numFmtId="0" fontId="40" fillId="2" borderId="1" xfId="0" applyFont="1" applyFill="1" applyBorder="1" applyAlignment="1">
      <alignment horizontal="center" vertical="center" wrapText="1"/>
    </xf>
    <xf numFmtId="0" fontId="40" fillId="2" borderId="2" xfId="0" applyFont="1" applyFill="1" applyBorder="1" applyAlignment="1">
      <alignment horizontal="center" vertical="center" wrapText="1"/>
    </xf>
    <xf numFmtId="0" fontId="40" fillId="2" borderId="14" xfId="0" applyFont="1" applyFill="1" applyBorder="1" applyAlignment="1">
      <alignment horizontal="center" vertical="center" wrapText="1"/>
    </xf>
    <xf numFmtId="0" fontId="40" fillId="2" borderId="12" xfId="0" applyFont="1" applyFill="1" applyBorder="1" applyAlignment="1">
      <alignment horizontal="center" vertical="center" wrapText="1"/>
    </xf>
    <xf numFmtId="0" fontId="40" fillId="2" borderId="13" xfId="0" applyFont="1" applyFill="1" applyBorder="1" applyAlignment="1">
      <alignment horizontal="center" vertical="center" wrapText="1"/>
    </xf>
    <xf numFmtId="0" fontId="50" fillId="0" borderId="0" xfId="0" applyFont="1" applyAlignment="1">
      <alignment horizontal="center" wrapText="1"/>
    </xf>
    <xf numFmtId="0" fontId="30" fillId="6" borderId="13" xfId="0" applyFont="1" applyFill="1" applyBorder="1" applyAlignment="1">
      <alignment horizontal="center"/>
    </xf>
    <xf numFmtId="0" fontId="42" fillId="0" borderId="15" xfId="0" applyFont="1" applyFill="1" applyBorder="1" applyAlignment="1">
      <alignment horizontal="center" vertical="center" wrapText="1"/>
    </xf>
    <xf numFmtId="0" fontId="42" fillId="0" borderId="16" xfId="0" applyFont="1" applyFill="1" applyBorder="1" applyAlignment="1">
      <alignment horizontal="center" vertical="center" wrapText="1"/>
    </xf>
    <xf numFmtId="164" fontId="26" fillId="0" borderId="0" xfId="0" applyNumberFormat="1" applyFont="1" applyBorder="1" applyAlignment="1">
      <alignment horizontal="center"/>
    </xf>
    <xf numFmtId="164" fontId="46" fillId="0" borderId="0" xfId="0" applyNumberFormat="1" applyFont="1" applyAlignment="1">
      <alignment horizontal="center" wrapText="1"/>
    </xf>
    <xf numFmtId="164" fontId="86" fillId="0" borderId="0" xfId="0" applyNumberFormat="1" applyFont="1" applyAlignment="1">
      <alignment horizontal="left" wrapText="1"/>
    </xf>
    <xf numFmtId="164" fontId="2" fillId="0" borderId="0" xfId="0" applyNumberFormat="1" applyFont="1" applyAlignment="1">
      <alignment horizontal="left" wrapText="1"/>
    </xf>
    <xf numFmtId="0" fontId="26" fillId="0" borderId="17" xfId="0" applyFont="1" applyBorder="1" applyAlignment="1">
      <alignment horizontal="center"/>
    </xf>
    <xf numFmtId="0" fontId="48" fillId="0" borderId="0" xfId="0" applyFont="1" applyAlignment="1">
      <alignment horizontal="center" wrapText="1"/>
    </xf>
    <xf numFmtId="0" fontId="37" fillId="0" borderId="15" xfId="0" applyFont="1" applyFill="1" applyBorder="1" applyAlignment="1">
      <alignment horizontal="center"/>
    </xf>
    <xf numFmtId="0" fontId="37" fillId="0" borderId="21" xfId="0" applyFont="1" applyFill="1" applyBorder="1" applyAlignment="1">
      <alignment horizontal="center"/>
    </xf>
    <xf numFmtId="0" fontId="37" fillId="0" borderId="16" xfId="0" applyFont="1" applyFill="1" applyBorder="1" applyAlignment="1">
      <alignment horizontal="center"/>
    </xf>
    <xf numFmtId="0" fontId="54" fillId="5" borderId="20" xfId="0" applyFont="1" applyFill="1" applyBorder="1" applyAlignment="1">
      <alignment horizontal="left" vertical="center"/>
    </xf>
    <xf numFmtId="0" fontId="54" fillId="5" borderId="14" xfId="0" applyFont="1" applyFill="1" applyBorder="1" applyAlignment="1">
      <alignment horizontal="left" vertical="center"/>
    </xf>
    <xf numFmtId="0" fontId="58" fillId="5" borderId="20" xfId="0" applyFont="1" applyFill="1" applyBorder="1" applyAlignment="1">
      <alignment horizontal="left" vertical="center"/>
    </xf>
    <xf numFmtId="0" fontId="58" fillId="5" borderId="14" xfId="0" applyFont="1" applyFill="1" applyBorder="1" applyAlignment="1">
      <alignment horizontal="left" vertical="center"/>
    </xf>
    <xf numFmtId="0" fontId="26" fillId="0" borderId="13" xfId="0" applyFont="1" applyBorder="1" applyAlignment="1">
      <alignment horizontal="center"/>
    </xf>
    <xf numFmtId="0" fontId="0" fillId="0" borderId="20" xfId="0" applyBorder="1" applyAlignment="1">
      <alignment horizontal="center" vertical="center"/>
    </xf>
    <xf numFmtId="0" fontId="0" fillId="0" borderId="2" xfId="0" applyBorder="1" applyAlignment="1">
      <alignment horizontal="center" vertical="center"/>
    </xf>
    <xf numFmtId="0" fontId="0" fillId="0" borderId="0" xfId="0" applyAlignment="1">
      <alignment horizontal="center"/>
    </xf>
    <xf numFmtId="0" fontId="26" fillId="0" borderId="15" xfId="0" applyFont="1" applyBorder="1" applyAlignment="1">
      <alignment horizontal="center"/>
    </xf>
    <xf numFmtId="0" fontId="26" fillId="0" borderId="21" xfId="0" applyFont="1" applyBorder="1" applyAlignment="1">
      <alignment horizontal="center"/>
    </xf>
    <xf numFmtId="0" fontId="26" fillId="0" borderId="16" xfId="0" applyFont="1" applyBorder="1" applyAlignment="1">
      <alignment horizontal="center"/>
    </xf>
    <xf numFmtId="0" fontId="54" fillId="5" borderId="20" xfId="0" applyFont="1" applyFill="1" applyBorder="1" applyAlignment="1">
      <alignment vertical="center"/>
    </xf>
    <xf numFmtId="0" fontId="54" fillId="5" borderId="14" xfId="0" applyFont="1" applyFill="1" applyBorder="1" applyAlignment="1">
      <alignment vertical="center"/>
    </xf>
    <xf numFmtId="0" fontId="6" fillId="0" borderId="1" xfId="0" applyFont="1" applyFill="1" applyBorder="1" applyAlignment="1">
      <alignment horizontal="center" wrapText="1"/>
    </xf>
    <xf numFmtId="0" fontId="13" fillId="0" borderId="0" xfId="0" applyFont="1" applyAlignment="1">
      <alignment horizontal="center" wrapText="1"/>
    </xf>
    <xf numFmtId="0" fontId="25" fillId="0" borderId="0" xfId="0" applyFont="1" applyAlignment="1">
      <alignment horizontal="center"/>
    </xf>
    <xf numFmtId="0" fontId="56" fillId="0" borderId="0" xfId="8" applyFont="1" applyAlignment="1" applyProtection="1">
      <alignment horizontal="center" wrapText="1"/>
    </xf>
    <xf numFmtId="0" fontId="57" fillId="0" borderId="0" xfId="0" applyFont="1" applyAlignment="1">
      <alignment horizontal="center" wrapText="1"/>
    </xf>
    <xf numFmtId="0" fontId="25" fillId="0" borderId="12" xfId="0" applyFont="1" applyFill="1" applyBorder="1" applyAlignment="1">
      <alignment horizontal="center"/>
    </xf>
    <xf numFmtId="0" fontId="25" fillId="0" borderId="13" xfId="0" applyFont="1" applyFill="1" applyBorder="1" applyAlignment="1">
      <alignment horizontal="center"/>
    </xf>
    <xf numFmtId="0" fontId="9" fillId="0" borderId="0" xfId="0" applyFont="1" applyAlignment="1">
      <alignment horizontal="center"/>
    </xf>
    <xf numFmtId="4" fontId="4" fillId="0" borderId="1" xfId="0" applyNumberFormat="1" applyFont="1" applyBorder="1" applyAlignment="1">
      <alignment horizontal="center"/>
    </xf>
    <xf numFmtId="4" fontId="4" fillId="0" borderId="0" xfId="0" applyNumberFormat="1" applyFont="1" applyBorder="1" applyAlignment="1">
      <alignment horizontal="center"/>
    </xf>
    <xf numFmtId="0" fontId="53" fillId="0" borderId="0" xfId="0" applyFont="1" applyAlignment="1">
      <alignment horizontal="center"/>
    </xf>
    <xf numFmtId="2" fontId="27" fillId="0" borderId="1" xfId="2" applyNumberFormat="1" applyFont="1" applyBorder="1" applyAlignment="1">
      <alignment horizontal="center"/>
    </xf>
    <xf numFmtId="10" fontId="28" fillId="0" borderId="1" xfId="1" applyNumberFormat="1" applyFont="1" applyBorder="1" applyAlignment="1">
      <alignment horizontal="center"/>
    </xf>
    <xf numFmtId="0" fontId="55" fillId="0" borderId="0" xfId="0" applyFont="1" applyAlignment="1">
      <alignment horizontal="center" wrapText="1"/>
    </xf>
    <xf numFmtId="0" fontId="26" fillId="0" borderId="0" xfId="0" applyFont="1" applyFill="1" applyBorder="1" applyAlignment="1">
      <alignment horizontal="center"/>
    </xf>
    <xf numFmtId="0" fontId="73" fillId="17" borderId="2" xfId="0" applyFont="1" applyFill="1" applyBorder="1" applyAlignment="1">
      <alignment horizontal="center" wrapText="1"/>
    </xf>
    <xf numFmtId="0" fontId="73" fillId="17" borderId="14" xfId="0" applyFont="1" applyFill="1" applyBorder="1" applyAlignment="1">
      <alignment horizontal="center" wrapText="1"/>
    </xf>
    <xf numFmtId="0" fontId="73" fillId="17" borderId="15" xfId="0" applyFont="1" applyFill="1" applyBorder="1" applyAlignment="1">
      <alignment horizontal="center" wrapText="1"/>
    </xf>
    <xf numFmtId="0" fontId="73" fillId="17" borderId="21" xfId="0" applyFont="1" applyFill="1" applyBorder="1" applyAlignment="1">
      <alignment horizontal="center" wrapText="1"/>
    </xf>
    <xf numFmtId="0" fontId="85" fillId="13" borderId="0" xfId="0" applyFont="1" applyFill="1" applyAlignment="1">
      <alignment horizontal="center"/>
    </xf>
    <xf numFmtId="0" fontId="56" fillId="0" borderId="15" xfId="0" applyFont="1" applyBorder="1" applyAlignment="1">
      <alignment horizontal="center"/>
    </xf>
    <xf numFmtId="0" fontId="56" fillId="0" borderId="21" xfId="0" applyFont="1" applyBorder="1" applyAlignment="1">
      <alignment horizontal="center"/>
    </xf>
    <xf numFmtId="0" fontId="79" fillId="14" borderId="13" xfId="0" applyFont="1" applyFill="1" applyBorder="1" applyAlignment="1">
      <alignment horizontal="center" wrapText="1"/>
    </xf>
    <xf numFmtId="0" fontId="79" fillId="12" borderId="15" xfId="0" applyFont="1" applyFill="1" applyBorder="1" applyAlignment="1">
      <alignment horizontal="center" wrapText="1"/>
    </xf>
    <xf numFmtId="0" fontId="79" fillId="12" borderId="21" xfId="0" applyFont="1" applyFill="1" applyBorder="1" applyAlignment="1">
      <alignment horizontal="center" wrapText="1"/>
    </xf>
    <xf numFmtId="0" fontId="79" fillId="12" borderId="16" xfId="0" applyFont="1" applyFill="1" applyBorder="1" applyAlignment="1">
      <alignment horizontal="center" wrapText="1"/>
    </xf>
    <xf numFmtId="164" fontId="0" fillId="0" borderId="0" xfId="2" applyFont="1"/>
  </cellXfs>
  <cellStyles count="11">
    <cellStyle name="Comma" xfId="2" builtinId="3"/>
    <cellStyle name="Comma 2" xfId="3"/>
    <cellStyle name="Comma 2 2" xfId="10"/>
    <cellStyle name="Comma 3" xfId="4"/>
    <cellStyle name="Currency 2" xfId="5"/>
    <cellStyle name="Currency 3" xfId="9"/>
    <cellStyle name="Hyperlink" xfId="8" builtinId="8"/>
    <cellStyle name="Normal" xfId="0" builtinId="0"/>
    <cellStyle name="Normal 3" xfId="6"/>
    <cellStyle name="Percent" xfId="1" builtinId="5"/>
    <cellStyle name="Percent 2" xfId="7"/>
  </cellStyles>
  <dxfs count="5">
    <dxf>
      <font>
        <color rgb="FFFF0000"/>
      </font>
    </dxf>
    <dxf>
      <font>
        <color rgb="FFFF0000"/>
      </font>
    </dxf>
    <dxf>
      <font>
        <color rgb="FFFF0000"/>
      </font>
    </dxf>
    <dxf>
      <font>
        <color rgb="FFFF0000"/>
      </font>
    </dxf>
    <dxf>
      <font>
        <color rgb="FF9C0006"/>
      </font>
      <fill>
        <patternFill>
          <bgColor rgb="FFFFC7CE"/>
        </patternFill>
      </fill>
    </dxf>
  </dxfs>
  <tableStyles count="0" defaultTableStyle="TableStyleMedium9" defaultPivotStyle="PivotStyleLight16"/>
  <colors>
    <mruColors>
      <color rgb="FF33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externalLink" Target="externalLinks/externalLink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BTB%20FPCL%20Financials%20final%20(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Nikhil/Desktop/VISHVJEET/Chaskarji/Dharti%20FPC/Dharti%20FPC.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Business%20calculator%20-Pongezhar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pital Cost"/>
      <sheetName val="Key Assumptions"/>
      <sheetName val="Capital Cost break-up"/>
      <sheetName val="Project Glance"/>
      <sheetName val="Depn"/>
      <sheetName val="Output Schedule"/>
      <sheetName val="CS-RM"/>
      <sheetName val="Purchase Schedule"/>
      <sheetName val="CS-FG"/>
      <sheetName val="Cold store"/>
      <sheetName val="Sales Schedule"/>
      <sheetName val="Farm Implement Business"/>
      <sheetName val="Production Level Support"/>
      <sheetName val="Manpower Schedule"/>
      <sheetName val="weigh Bridge"/>
      <sheetName val="Opex Schedule"/>
      <sheetName val="WC Req"/>
      <sheetName val="Ammortization"/>
      <sheetName val="WC Assessment"/>
      <sheetName val="P&amp;L"/>
      <sheetName val="Tax"/>
      <sheetName val="BS"/>
      <sheetName val="CF"/>
      <sheetName val="TL Schedule"/>
      <sheetName val="Interest"/>
      <sheetName val="ROCE and Payback"/>
      <sheetName val="NPV"/>
      <sheetName val="IRR"/>
      <sheetName val="Debt Equity"/>
      <sheetName val="Break Even"/>
      <sheetName val="DSCR"/>
      <sheetName val="BEP &amp; DSCR"/>
      <sheetName val="Sheet19"/>
      <sheetName val="Sheet6"/>
      <sheetName val="Benefit-FPO-Producer"/>
      <sheetName val="Sheet2"/>
      <sheetName val="Economic Analysis"/>
      <sheetName val="Sheet9"/>
      <sheetName val="sensitivity"/>
      <sheetName val="Member Data"/>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refreshError="1"/>
      <sheetData sheetId="9" refreshError="1"/>
      <sheetData sheetId="10"/>
      <sheetData sheetId="11" refreshError="1"/>
      <sheetData sheetId="12" refreshError="1"/>
      <sheetData sheetId="13"/>
      <sheetData sheetId="14" refreshError="1"/>
      <sheetData sheetId="15" refreshError="1"/>
      <sheetData sheetId="16" refreshError="1"/>
      <sheetData sheetId="17" refreshError="1"/>
      <sheetData sheetId="18" refreshError="1"/>
      <sheetData sheetId="19" refreshError="1"/>
      <sheetData sheetId="20" refreshError="1"/>
      <sheetData sheetId="2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Land and Building"/>
      <sheetName val="Machinery and Equipment"/>
      <sheetName val="Total Cost of Project"/>
      <sheetName val="Means of Finance"/>
      <sheetName val="Working Capital"/>
      <sheetName val="Operational Expenses"/>
      <sheetName val="Revenue Schedule"/>
      <sheetName val="Depreciation"/>
      <sheetName val="Term Loan"/>
      <sheetName val="Tax"/>
      <sheetName val="P&amp;L"/>
      <sheetName val="Cash Flow"/>
      <sheetName val="Balance Sheet"/>
      <sheetName val="Financial Indicators"/>
      <sheetName val="Output"/>
    </sheetNames>
    <sheetDataSet>
      <sheetData sheetId="0"/>
      <sheetData sheetId="1"/>
      <sheetData sheetId="2"/>
      <sheetData sheetId="3">
        <row r="3">
          <cell r="C3" t="str">
            <v>Land and Building</v>
          </cell>
        </row>
        <row r="4">
          <cell r="C4" t="str">
            <v>Machinery and Equipment</v>
          </cell>
        </row>
      </sheetData>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 for users"/>
      <sheetName val="1.Project Cost and MOF"/>
      <sheetName val="2.Capex Details"/>
      <sheetName val="3.Other Exp &amp; Taxes"/>
      <sheetName val="4.TL repayment sch"/>
      <sheetName val="5.Closing Stock &amp; W Capital"/>
      <sheetName val="6.Cons Profit &amp; Loss"/>
      <sheetName val="7.Balance Sheet"/>
      <sheetName val="10.Grain Production details"/>
      <sheetName val="8.Cash Flow "/>
      <sheetName val="9. Financial indiacators"/>
      <sheetName val="11.F&amp;V Crop Production details"/>
      <sheetName val="12.Facility 1 - Trading"/>
      <sheetName val="17.Facility 6 Horti Processing "/>
      <sheetName val="14. Facility 3 Warehouse"/>
      <sheetName val="15. Facility 4 Custom Hiring"/>
      <sheetName val="16.Facility 5 Agri Input"/>
      <sheetName val="13.Facility 2 Grain Processing-"/>
      <sheetName val="Input Sheet"/>
    </sheetNames>
    <sheetDataSet>
      <sheetData sheetId="0"/>
      <sheetData sheetId="1"/>
      <sheetData sheetId="2"/>
      <sheetData sheetId="3"/>
      <sheetData sheetId="4"/>
      <sheetData sheetId="5"/>
      <sheetData sheetId="6">
        <row r="57">
          <cell r="A57" t="str">
            <v>Appropriation 40% for Investment reserve ( Distribution of Dividend and Bonus Shares)</v>
          </cell>
        </row>
      </sheetData>
      <sheetData sheetId="7"/>
      <sheetData sheetId="8"/>
      <sheetData sheetId="9"/>
      <sheetData sheetId="10"/>
      <sheetData sheetId="11"/>
      <sheetData sheetId="12"/>
      <sheetData sheetId="13"/>
      <sheetData sheetId="14"/>
      <sheetData sheetId="15"/>
      <sheetData sheetId="16"/>
      <sheetData sheetId="17">
        <row r="32">
          <cell r="B32">
            <v>135</v>
          </cell>
        </row>
        <row r="33">
          <cell r="B33">
            <v>68</v>
          </cell>
        </row>
        <row r="34">
          <cell r="B34">
            <v>68</v>
          </cell>
        </row>
        <row r="36">
          <cell r="B36">
            <v>0</v>
          </cell>
        </row>
      </sheetData>
      <sheetData sheetId="1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s://www.investopedia.com/terms/d/discountrate.asp" TargetMode="Externa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7"/>
  <sheetViews>
    <sheetView topLeftCell="A7" workbookViewId="0">
      <selection activeCell="I27" sqref="I27"/>
    </sheetView>
  </sheetViews>
  <sheetFormatPr defaultColWidth="9.140625" defaultRowHeight="15"/>
  <cols>
    <col min="1" max="1" width="12.85546875" style="303" customWidth="1"/>
    <col min="2" max="2" width="56" style="303" customWidth="1"/>
    <col min="3" max="3" width="26.28515625" style="303" customWidth="1"/>
    <col min="4" max="4" width="20.7109375" style="303" customWidth="1"/>
    <col min="5" max="5" width="29.42578125" style="303" customWidth="1"/>
    <col min="6" max="16384" width="9.140625" style="303"/>
  </cols>
  <sheetData>
    <row r="1" spans="1:5" ht="26.25" customHeight="1">
      <c r="A1" s="682" t="s">
        <v>584</v>
      </c>
      <c r="B1" s="682"/>
      <c r="C1" s="682"/>
      <c r="D1" s="682"/>
      <c r="E1" s="682"/>
    </row>
    <row r="2" spans="1:5" ht="26.25" customHeight="1">
      <c r="A2" s="683" t="s">
        <v>580</v>
      </c>
      <c r="B2" s="683"/>
      <c r="C2" s="683"/>
      <c r="D2" s="683"/>
      <c r="E2" s="683"/>
    </row>
    <row r="3" spans="1:5" ht="23.25" customHeight="1">
      <c r="A3" s="684" t="s">
        <v>551</v>
      </c>
      <c r="B3" s="684"/>
      <c r="C3" s="684"/>
      <c r="D3" s="684"/>
      <c r="E3" s="684"/>
    </row>
    <row r="4" spans="1:5" ht="240.75" customHeight="1">
      <c r="A4" s="685" t="s">
        <v>585</v>
      </c>
      <c r="B4" s="685"/>
      <c r="C4" s="685"/>
      <c r="D4" s="685"/>
      <c r="E4" s="685"/>
    </row>
    <row r="5" spans="1:5" ht="23.25" customHeight="1">
      <c r="A5" s="684" t="s">
        <v>552</v>
      </c>
      <c r="B5" s="684"/>
      <c r="C5" s="684"/>
      <c r="D5" s="684"/>
      <c r="E5" s="684"/>
    </row>
    <row r="6" spans="1:5" ht="108" customHeight="1">
      <c r="A6" s="692" t="s">
        <v>623</v>
      </c>
      <c r="B6" s="693"/>
      <c r="C6" s="693"/>
      <c r="D6" s="693"/>
      <c r="E6" s="694"/>
    </row>
    <row r="7" spans="1:5" ht="23.25" customHeight="1">
      <c r="A7" s="695" t="s">
        <v>586</v>
      </c>
      <c r="B7" s="695"/>
      <c r="C7" s="695"/>
      <c r="D7" s="695"/>
      <c r="E7" s="695"/>
    </row>
    <row r="8" spans="1:5" ht="125.25" customHeight="1">
      <c r="A8" s="685" t="s">
        <v>622</v>
      </c>
      <c r="B8" s="685"/>
      <c r="C8" s="685"/>
      <c r="D8" s="685"/>
      <c r="E8" s="685"/>
    </row>
    <row r="9" spans="1:5" ht="23.25">
      <c r="A9" s="684" t="s">
        <v>577</v>
      </c>
      <c r="B9" s="684"/>
      <c r="C9" s="684"/>
      <c r="D9" s="684"/>
      <c r="E9" s="684"/>
    </row>
    <row r="10" spans="1:5">
      <c r="A10" s="303" t="s">
        <v>553</v>
      </c>
      <c r="B10" s="303" t="s">
        <v>146</v>
      </c>
    </row>
    <row r="11" spans="1:5" ht="20.25" customHeight="1">
      <c r="A11" s="307"/>
      <c r="B11" s="696" t="s">
        <v>384</v>
      </c>
      <c r="C11" s="697"/>
      <c r="D11" s="697"/>
      <c r="E11" s="698"/>
    </row>
    <row r="12" spans="1:5">
      <c r="A12" s="308"/>
      <c r="B12" s="686" t="s">
        <v>385</v>
      </c>
      <c r="C12" s="686"/>
      <c r="D12" s="686"/>
      <c r="E12" s="686"/>
    </row>
    <row r="13" spans="1:5" s="310" customFormat="1">
      <c r="A13" s="687"/>
      <c r="B13" s="687"/>
      <c r="C13" s="687"/>
      <c r="D13" s="687"/>
      <c r="E13" s="688"/>
    </row>
    <row r="14" spans="1:5" ht="23.25">
      <c r="A14" s="684" t="s">
        <v>578</v>
      </c>
      <c r="B14" s="684"/>
      <c r="C14" s="684"/>
      <c r="D14" s="684"/>
      <c r="E14" s="684"/>
    </row>
    <row r="15" spans="1:5">
      <c r="A15" s="304" t="s">
        <v>549</v>
      </c>
      <c r="B15" s="304" t="s">
        <v>587</v>
      </c>
      <c r="C15" s="304" t="s">
        <v>436</v>
      </c>
      <c r="D15" s="304" t="s">
        <v>557</v>
      </c>
      <c r="E15" s="304" t="s">
        <v>550</v>
      </c>
    </row>
    <row r="16" spans="1:5">
      <c r="A16" s="311" t="s">
        <v>167</v>
      </c>
      <c r="B16" s="311" t="s">
        <v>588</v>
      </c>
      <c r="C16" s="311"/>
      <c r="D16" s="311"/>
      <c r="E16" s="311"/>
    </row>
    <row r="17" spans="1:5" ht="60">
      <c r="A17" s="312" t="s">
        <v>567</v>
      </c>
      <c r="B17" s="305" t="s">
        <v>574</v>
      </c>
      <c r="C17" s="305" t="s">
        <v>619</v>
      </c>
      <c r="D17" s="305" t="s">
        <v>589</v>
      </c>
      <c r="E17" s="305"/>
    </row>
    <row r="18" spans="1:5" ht="90">
      <c r="A18" s="312" t="s">
        <v>568</v>
      </c>
      <c r="B18" s="305" t="s">
        <v>554</v>
      </c>
      <c r="C18" s="305" t="s">
        <v>620</v>
      </c>
      <c r="D18" s="305" t="s">
        <v>590</v>
      </c>
      <c r="E18" s="305"/>
    </row>
    <row r="19" spans="1:5" ht="26.25" customHeight="1">
      <c r="A19" s="312" t="s">
        <v>569</v>
      </c>
      <c r="B19" s="306" t="s">
        <v>581</v>
      </c>
      <c r="C19" s="305" t="s">
        <v>591</v>
      </c>
      <c r="D19" s="305" t="s">
        <v>592</v>
      </c>
      <c r="E19" s="305" t="s">
        <v>579</v>
      </c>
    </row>
    <row r="20" spans="1:5" ht="30">
      <c r="A20" s="312" t="s">
        <v>570</v>
      </c>
      <c r="B20" s="305" t="s">
        <v>621</v>
      </c>
      <c r="C20" s="305"/>
      <c r="D20" s="305"/>
      <c r="E20" s="305"/>
    </row>
    <row r="21" spans="1:5">
      <c r="A21" s="305">
        <v>4.0999999999999996</v>
      </c>
      <c r="B21" s="305" t="s">
        <v>561</v>
      </c>
      <c r="C21" s="689" t="s">
        <v>593</v>
      </c>
      <c r="D21" s="305" t="s">
        <v>594</v>
      </c>
      <c r="E21" s="305"/>
    </row>
    <row r="22" spans="1:5" ht="30">
      <c r="A22" s="305">
        <v>4.2</v>
      </c>
      <c r="B22" s="305" t="s">
        <v>565</v>
      </c>
      <c r="C22" s="690"/>
      <c r="D22" s="305" t="s">
        <v>595</v>
      </c>
      <c r="E22" s="305"/>
    </row>
    <row r="23" spans="1:5">
      <c r="A23" s="305">
        <v>4.3</v>
      </c>
      <c r="B23" s="305" t="s">
        <v>562</v>
      </c>
      <c r="C23" s="690"/>
      <c r="D23" s="305" t="s">
        <v>596</v>
      </c>
      <c r="E23" s="305"/>
    </row>
    <row r="24" spans="1:5">
      <c r="A24" s="305">
        <v>4.4000000000000004</v>
      </c>
      <c r="B24" s="305" t="s">
        <v>563</v>
      </c>
      <c r="C24" s="690"/>
      <c r="D24" s="305" t="s">
        <v>597</v>
      </c>
      <c r="E24" s="305"/>
    </row>
    <row r="25" spans="1:5">
      <c r="A25" s="305">
        <v>4.5</v>
      </c>
      <c r="B25" s="305" t="s">
        <v>564</v>
      </c>
      <c r="C25" s="690"/>
      <c r="D25" s="305" t="s">
        <v>598</v>
      </c>
      <c r="E25" s="305"/>
    </row>
    <row r="26" spans="1:5">
      <c r="A26" s="305">
        <v>4.5999999999999996</v>
      </c>
      <c r="B26" s="305" t="s">
        <v>566</v>
      </c>
      <c r="C26" s="691"/>
      <c r="D26" s="305" t="s">
        <v>599</v>
      </c>
      <c r="E26" s="305"/>
    </row>
    <row r="27" spans="1:5" ht="45">
      <c r="A27" s="312" t="s">
        <v>571</v>
      </c>
      <c r="B27" s="305" t="s">
        <v>555</v>
      </c>
      <c r="C27" s="305" t="s">
        <v>600</v>
      </c>
      <c r="D27" s="305" t="s">
        <v>625</v>
      </c>
      <c r="E27" s="305"/>
    </row>
    <row r="28" spans="1:5" ht="60">
      <c r="A28" s="312" t="s">
        <v>572</v>
      </c>
      <c r="B28" s="305" t="s">
        <v>601</v>
      </c>
      <c r="C28" s="305" t="s">
        <v>602</v>
      </c>
      <c r="D28" s="305" t="s">
        <v>603</v>
      </c>
      <c r="E28" s="305"/>
    </row>
    <row r="29" spans="1:5" ht="45">
      <c r="A29" s="312" t="s">
        <v>573</v>
      </c>
      <c r="B29" s="305" t="s">
        <v>556</v>
      </c>
      <c r="C29" s="305" t="s">
        <v>604</v>
      </c>
      <c r="D29" s="305" t="s">
        <v>605</v>
      </c>
      <c r="E29" s="305"/>
    </row>
    <row r="30" spans="1:5">
      <c r="A30" s="311" t="s">
        <v>168</v>
      </c>
      <c r="B30" s="313" t="s">
        <v>606</v>
      </c>
      <c r="C30" s="311"/>
      <c r="D30" s="311"/>
      <c r="E30" s="311"/>
    </row>
    <row r="31" spans="1:5" ht="26.25" customHeight="1">
      <c r="A31" s="314" t="s">
        <v>607</v>
      </c>
      <c r="B31" s="305" t="s">
        <v>558</v>
      </c>
      <c r="C31" s="305"/>
      <c r="D31" s="305" t="s">
        <v>608</v>
      </c>
      <c r="E31" s="305" t="s">
        <v>579</v>
      </c>
    </row>
    <row r="32" spans="1:5">
      <c r="A32" s="314" t="s">
        <v>609</v>
      </c>
      <c r="B32" s="305" t="s">
        <v>559</v>
      </c>
      <c r="C32" s="305"/>
      <c r="D32" s="305" t="s">
        <v>610</v>
      </c>
      <c r="E32" s="305" t="s">
        <v>579</v>
      </c>
    </row>
    <row r="33" spans="1:5">
      <c r="A33" s="314" t="s">
        <v>611</v>
      </c>
      <c r="B33" s="305" t="s">
        <v>560</v>
      </c>
      <c r="C33" s="305"/>
      <c r="D33" s="305" t="s">
        <v>612</v>
      </c>
      <c r="E33" s="305" t="s">
        <v>579</v>
      </c>
    </row>
    <row r="34" spans="1:5" ht="35.25" customHeight="1">
      <c r="A34" s="314" t="s">
        <v>613</v>
      </c>
      <c r="B34" s="305" t="s">
        <v>575</v>
      </c>
      <c r="C34" s="305"/>
      <c r="D34" s="305" t="s">
        <v>614</v>
      </c>
      <c r="E34" s="305" t="s">
        <v>579</v>
      </c>
    </row>
    <row r="35" spans="1:5" ht="35.25" customHeight="1">
      <c r="A35" s="314" t="s">
        <v>615</v>
      </c>
      <c r="B35" s="305" t="s">
        <v>616</v>
      </c>
      <c r="C35" s="305"/>
      <c r="D35" s="305" t="s">
        <v>624</v>
      </c>
      <c r="E35" s="305" t="s">
        <v>579</v>
      </c>
    </row>
    <row r="36" spans="1:5">
      <c r="A36" s="312" t="s">
        <v>617</v>
      </c>
      <c r="B36" s="305" t="s">
        <v>618</v>
      </c>
      <c r="C36" s="305"/>
      <c r="D36" s="305"/>
      <c r="E36" s="305"/>
    </row>
    <row r="37" spans="1:5" ht="21">
      <c r="A37" s="681"/>
      <c r="B37" s="681"/>
      <c r="C37" s="681"/>
      <c r="D37" s="681"/>
      <c r="E37" s="681"/>
    </row>
  </sheetData>
  <mergeCells count="15">
    <mergeCell ref="A37:E37"/>
    <mergeCell ref="A1:E1"/>
    <mergeCell ref="A2:E2"/>
    <mergeCell ref="A3:E3"/>
    <mergeCell ref="A4:E4"/>
    <mergeCell ref="A5:E5"/>
    <mergeCell ref="B12:E12"/>
    <mergeCell ref="A13:E13"/>
    <mergeCell ref="A14:E14"/>
    <mergeCell ref="C21:C26"/>
    <mergeCell ref="A6:E6"/>
    <mergeCell ref="A7:E7"/>
    <mergeCell ref="A8:E8"/>
    <mergeCell ref="A9:E9"/>
    <mergeCell ref="B11:E11"/>
  </mergeCells>
  <pageMargins left="0.7" right="0.7" top="0.75" bottom="0.75" header="0.3" footer="0.3"/>
  <pageSetup paperSize="9" orientation="portrait" horizont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4"/>
  <sheetViews>
    <sheetView view="pageBreakPreview" topLeftCell="A14" zoomScale="80" zoomScaleSheetLayoutView="80" workbookViewId="0">
      <selection activeCell="A4" sqref="A4:I36"/>
    </sheetView>
  </sheetViews>
  <sheetFormatPr defaultRowHeight="15"/>
  <cols>
    <col min="1" max="1" width="3.5703125" bestFit="1" customWidth="1"/>
    <col min="2" max="2" width="35.7109375" bestFit="1" customWidth="1"/>
    <col min="3" max="9" width="12.5703125" customWidth="1"/>
  </cols>
  <sheetData>
    <row r="1" spans="1:11">
      <c r="A1" s="716"/>
      <c r="B1" s="716"/>
      <c r="C1" s="716"/>
      <c r="D1" s="716"/>
      <c r="E1" s="716"/>
      <c r="F1" s="716"/>
      <c r="G1" s="716"/>
    </row>
    <row r="2" spans="1:11" ht="18.75">
      <c r="A2" s="701" t="s">
        <v>505</v>
      </c>
      <c r="B2" s="701"/>
      <c r="C2" s="701"/>
      <c r="D2" s="701"/>
      <c r="E2" s="701"/>
      <c r="F2" s="701"/>
      <c r="G2" s="701"/>
      <c r="H2" s="701"/>
      <c r="I2" s="701"/>
      <c r="J2" s="71"/>
    </row>
    <row r="4" spans="1:11">
      <c r="A4" s="49" t="s">
        <v>222</v>
      </c>
      <c r="B4" s="49" t="s">
        <v>0</v>
      </c>
      <c r="C4" s="50" t="s">
        <v>2</v>
      </c>
      <c r="D4" s="50" t="s">
        <v>3</v>
      </c>
      <c r="E4" s="50" t="s">
        <v>4</v>
      </c>
      <c r="F4" s="50" t="s">
        <v>5</v>
      </c>
      <c r="G4" s="50" t="s">
        <v>6</v>
      </c>
      <c r="H4" s="50" t="s">
        <v>163</v>
      </c>
      <c r="I4" s="50" t="s">
        <v>162</v>
      </c>
    </row>
    <row r="5" spans="1:11">
      <c r="A5" s="36">
        <v>1</v>
      </c>
      <c r="B5" s="36" t="s">
        <v>861</v>
      </c>
      <c r="C5" s="37"/>
      <c r="D5" s="37"/>
      <c r="E5" s="37"/>
      <c r="F5" s="37"/>
      <c r="G5" s="37"/>
      <c r="H5" s="37"/>
      <c r="I5" s="37"/>
    </row>
    <row r="6" spans="1:11">
      <c r="A6" s="36"/>
      <c r="B6" s="38" t="s">
        <v>352</v>
      </c>
      <c r="C6" s="513">
        <f>+'6.Cons Profit &amp; Loss'!B19</f>
        <v>219.94826666666665</v>
      </c>
      <c r="D6" s="513">
        <f>+'6.Cons Profit &amp; Loss'!C19</f>
        <v>255.25986000000006</v>
      </c>
      <c r="E6" s="513">
        <f>+'6.Cons Profit &amp; Loss'!D19</f>
        <v>290.06631700000003</v>
      </c>
      <c r="F6" s="513">
        <f>+'6.Cons Profit &amp; Loss'!E19</f>
        <v>330.84785255000003</v>
      </c>
      <c r="G6" s="513">
        <f>+'6.Cons Profit &amp; Loss'!F19</f>
        <v>370.76557748750008</v>
      </c>
      <c r="H6" s="513">
        <f>+'6.Cons Profit &amp; Loss'!G19</f>
        <v>413.46096478112503</v>
      </c>
      <c r="I6" s="513">
        <f>+'6.Cons Profit &amp; Loss'!H19</f>
        <v>459.61278024133128</v>
      </c>
      <c r="K6" s="366"/>
    </row>
    <row r="7" spans="1:11">
      <c r="A7" s="36">
        <v>2</v>
      </c>
      <c r="B7" s="36" t="s">
        <v>223</v>
      </c>
      <c r="C7" s="513">
        <f>'1.Project Cost and MOF'!E19</f>
        <v>41.915467761659372</v>
      </c>
      <c r="D7" s="513"/>
      <c r="E7" s="513"/>
      <c r="F7" s="513"/>
      <c r="G7" s="513"/>
      <c r="H7" s="513"/>
      <c r="I7" s="513"/>
    </row>
    <row r="8" spans="1:11" ht="43.5">
      <c r="A8" s="36"/>
      <c r="B8" s="518" t="str">
        <f>+'6.Cons Profit &amp; Loss'!A57</f>
        <v>Appropriation 35% for Investment reserve ( Distribution of Dividend and Bonus Shares)</v>
      </c>
      <c r="C8" s="513">
        <f>-'6.Cons Profit &amp; Loss'!B57</f>
        <v>-7.5952778856809973</v>
      </c>
      <c r="D8" s="513">
        <f>-'6.Cons Profit &amp; Loss'!C57</f>
        <v>-9.844343812112955</v>
      </c>
      <c r="E8" s="513">
        <f>-'6.Cons Profit &amp; Loss'!D57</f>
        <v>-11.723077475737773</v>
      </c>
      <c r="F8" s="513">
        <f>-'6.Cons Profit &amp; Loss'!E57</f>
        <v>-14.376586127073361</v>
      </c>
      <c r="G8" s="513">
        <f>-'6.Cons Profit &amp; Loss'!F57</f>
        <v>-16.804128619235424</v>
      </c>
      <c r="H8" s="513">
        <f>-'6.Cons Profit &amp; Loss'!G57</f>
        <v>-19.173302686837914</v>
      </c>
      <c r="I8" s="513">
        <f>-'6.Cons Profit &amp; Loss'!H57</f>
        <v>-21.014562947180739</v>
      </c>
    </row>
    <row r="9" spans="1:11">
      <c r="A9" s="36">
        <v>3</v>
      </c>
      <c r="B9" s="36" t="str">
        <f>'7.Balance Sheet'!A35</f>
        <v>Smart Grant -in-Aid</v>
      </c>
      <c r="C9" s="513">
        <f>'1.Project Cost and MOF'!E20</f>
        <v>117.20795939999999</v>
      </c>
      <c r="D9" s="513"/>
      <c r="E9" s="513"/>
      <c r="F9" s="513"/>
      <c r="G9" s="513"/>
      <c r="H9" s="513"/>
      <c r="I9" s="513"/>
    </row>
    <row r="10" spans="1:11">
      <c r="A10" s="36">
        <v>4</v>
      </c>
      <c r="B10" s="36" t="s">
        <v>224</v>
      </c>
      <c r="C10" s="513">
        <f>'1.Project Cost and MOF'!E21</f>
        <v>39.069319800000002</v>
      </c>
      <c r="D10" s="513"/>
      <c r="E10" s="513"/>
      <c r="F10" s="513"/>
      <c r="G10" s="513"/>
      <c r="H10" s="513"/>
      <c r="I10" s="513"/>
    </row>
    <row r="11" spans="1:11">
      <c r="A11" s="36">
        <v>5</v>
      </c>
      <c r="B11" s="36" t="s">
        <v>225</v>
      </c>
      <c r="C11" s="513">
        <f>'5.Closing Stock &amp; W Capital'!E55*75%</f>
        <v>8.5384438849780686</v>
      </c>
      <c r="D11" s="513">
        <f>+'7.Balance Sheet'!C25-'7.Balance Sheet'!B25</f>
        <v>2.0786602749506606</v>
      </c>
      <c r="E11" s="513">
        <f>+'7.Balance Sheet'!D25-'7.Balance Sheet'!C25</f>
        <v>1.3498909976894211</v>
      </c>
      <c r="F11" s="513">
        <f>+'7.Balance Sheet'!E25-'7.Balance Sheet'!D25</f>
        <v>1.7038046681879173</v>
      </c>
      <c r="G11" s="513">
        <f>+'7.Balance Sheet'!F25-'7.Balance Sheet'!E25</f>
        <v>1.6000892112409666</v>
      </c>
      <c r="H11" s="513">
        <f>+'7.Balance Sheet'!G25-'7.Balance Sheet'!F25</f>
        <v>1.810985645587003</v>
      </c>
      <c r="I11" s="513">
        <f>+'7.Balance Sheet'!H25-'7.Balance Sheet'!G25</f>
        <v>2.9213964535334114</v>
      </c>
    </row>
    <row r="12" spans="1:11">
      <c r="A12" s="36">
        <v>6</v>
      </c>
      <c r="B12" s="36" t="s">
        <v>803</v>
      </c>
      <c r="C12" s="513">
        <f>+'7.Balance Sheet'!B26</f>
        <v>15.288597042251462</v>
      </c>
      <c r="D12" s="513">
        <f>+'7.Balance Sheet'!C26-'7.Balance Sheet'!B26</f>
        <v>2.0615024111769049</v>
      </c>
      <c r="E12" s="513">
        <f>+'7.Balance Sheet'!D26-'7.Balance Sheet'!C26</f>
        <v>2.2747230030807728</v>
      </c>
      <c r="F12" s="513">
        <f>+'7.Balance Sheet'!E26-'7.Balance Sheet'!D26</f>
        <v>2.535704759082769</v>
      </c>
      <c r="G12" s="513">
        <f>+'7.Balance Sheet'!F26-'7.Balance Sheet'!E26</f>
        <v>2.5514677912620556</v>
      </c>
      <c r="H12" s="513">
        <f>+'7.Balance Sheet'!G26-'7.Balance Sheet'!F26</f>
        <v>2.7765880722798286</v>
      </c>
      <c r="I12" s="513">
        <f>+'7.Balance Sheet'!H26-'7.Balance Sheet'!G26</f>
        <v>3.1906593418033644</v>
      </c>
    </row>
    <row r="13" spans="1:11">
      <c r="A13" s="36">
        <v>7</v>
      </c>
      <c r="B13" s="36" t="s">
        <v>804</v>
      </c>
      <c r="C13" s="513">
        <f>-'7.Balance Sheet'!B11-'7.Balance Sheet'!B9</f>
        <v>-26.673188888888888</v>
      </c>
      <c r="D13" s="513">
        <f>+'7.Balance Sheet'!B9+'7.Balance Sheet'!B11-'7.Balance Sheet'!C9-'7.Balance Sheet'!C11</f>
        <v>-4.8330494444444518</v>
      </c>
      <c r="E13" s="513">
        <f>+'7.Balance Sheet'!C9+'7.Balance Sheet'!C11-'7.Balance Sheet'!D9-'7.Balance Sheet'!D11</f>
        <v>-4.0745776666666647</v>
      </c>
      <c r="F13" s="513">
        <f>+'7.Balance Sheet'!D9+'7.Balance Sheet'!D11-'7.Balance Sheet'!E9-'7.Balance Sheet'!E11</f>
        <v>-4.8074443166666629</v>
      </c>
      <c r="G13" s="513">
        <f>+'7.Balance Sheet'!E9+'7.Balance Sheet'!E11-'7.Balance Sheet'!F9-'7.Balance Sheet'!F11</f>
        <v>-4.6849200729166718</v>
      </c>
      <c r="H13" s="513">
        <f>+'7.Balance Sheet'!F9+'7.Balance Sheet'!F11-'7.Balance Sheet'!G9-'7.Balance Sheet'!G11</f>
        <v>-5.1912355997291648</v>
      </c>
      <c r="I13" s="513">
        <f>+'7.Balance Sheet'!G9+'7.Balance Sheet'!G11-'7.Balance Sheet'!H9-'7.Balance Sheet'!H11</f>
        <v>-7.0858546131812474</v>
      </c>
    </row>
    <row r="14" spans="1:11">
      <c r="A14" s="36"/>
      <c r="B14" s="36" t="s">
        <v>226</v>
      </c>
      <c r="C14" s="514">
        <f>SUM(C6:C13)</f>
        <v>407.69958778098572</v>
      </c>
      <c r="D14" s="514">
        <f t="shared" ref="D14:I14" si="0">SUM(D6:D13)</f>
        <v>244.72262942957025</v>
      </c>
      <c r="E14" s="514">
        <f t="shared" si="0"/>
        <v>277.89327585836583</v>
      </c>
      <c r="F14" s="514">
        <f t="shared" si="0"/>
        <v>315.90333153353066</v>
      </c>
      <c r="G14" s="514">
        <f t="shared" si="0"/>
        <v>353.428085797851</v>
      </c>
      <c r="H14" s="514">
        <f t="shared" si="0"/>
        <v>393.68400021242473</v>
      </c>
      <c r="I14" s="514">
        <f t="shared" si="0"/>
        <v>437.62441847630606</v>
      </c>
    </row>
    <row r="15" spans="1:11">
      <c r="A15" s="753" t="s">
        <v>227</v>
      </c>
      <c r="B15" s="753"/>
      <c r="C15" s="515"/>
      <c r="D15" s="515"/>
      <c r="E15" s="515"/>
      <c r="F15" s="515"/>
      <c r="G15" s="515"/>
      <c r="H15" s="515"/>
      <c r="I15" s="515"/>
    </row>
    <row r="16" spans="1:11">
      <c r="A16" s="36">
        <v>1</v>
      </c>
      <c r="B16" s="36" t="s">
        <v>228</v>
      </c>
      <c r="C16" s="515"/>
      <c r="D16" s="515"/>
      <c r="E16" s="515"/>
      <c r="F16" s="515"/>
      <c r="G16" s="515"/>
      <c r="H16" s="515"/>
      <c r="I16" s="515"/>
    </row>
    <row r="17" spans="1:18">
      <c r="A17" s="40" t="s">
        <v>229</v>
      </c>
      <c r="B17" s="39" t="str">
        <f>'[2]Total Cost of Project'!C3</f>
        <v>Land and Building</v>
      </c>
      <c r="C17" s="513">
        <f>'1.Project Cost and MOF'!D5</f>
        <v>109.31</v>
      </c>
      <c r="D17" s="513"/>
      <c r="E17" s="513"/>
      <c r="F17" s="513"/>
      <c r="G17" s="513"/>
      <c r="H17" s="513"/>
      <c r="I17" s="513"/>
    </row>
    <row r="18" spans="1:18">
      <c r="A18" s="40" t="s">
        <v>230</v>
      </c>
      <c r="B18" s="41" t="str">
        <f>'[2]Total Cost of Project'!C4</f>
        <v>Machinery and Equipment</v>
      </c>
      <c r="C18" s="513">
        <f>'1.Project Cost and MOF'!D6</f>
        <v>76.734380000000002</v>
      </c>
      <c r="D18" s="513"/>
      <c r="E18" s="513"/>
      <c r="F18" s="513"/>
      <c r="G18" s="513"/>
      <c r="H18" s="513"/>
      <c r="I18" s="513"/>
    </row>
    <row r="19" spans="1:18">
      <c r="A19" s="40" t="s">
        <v>266</v>
      </c>
      <c r="B19" s="41" t="s">
        <v>318</v>
      </c>
      <c r="C19" s="513">
        <f>'1.Project Cost and MOF'!D7</f>
        <v>0</v>
      </c>
      <c r="D19" s="513"/>
      <c r="E19" s="513"/>
      <c r="F19" s="513"/>
      <c r="G19" s="513"/>
      <c r="H19" s="513"/>
      <c r="I19" s="513"/>
    </row>
    <row r="20" spans="1:18">
      <c r="A20" s="40" t="s">
        <v>268</v>
      </c>
      <c r="B20" s="41" t="s">
        <v>320</v>
      </c>
      <c r="C20" s="513">
        <f>'1.Project Cost and MOF'!D8</f>
        <v>0</v>
      </c>
      <c r="D20" s="513"/>
      <c r="E20" s="513"/>
      <c r="F20" s="513"/>
      <c r="G20" s="513"/>
      <c r="H20" s="513"/>
      <c r="I20" s="513"/>
    </row>
    <row r="21" spans="1:18">
      <c r="A21" s="40" t="s">
        <v>321</v>
      </c>
      <c r="B21" s="41" t="s">
        <v>267</v>
      </c>
      <c r="C21" s="513">
        <f>'1.Project Cost and MOF'!D9</f>
        <v>0</v>
      </c>
      <c r="D21" s="513"/>
      <c r="E21" s="513"/>
      <c r="F21" s="513"/>
      <c r="G21" s="513"/>
      <c r="H21" s="513"/>
      <c r="I21" s="513"/>
    </row>
    <row r="22" spans="1:18">
      <c r="A22" s="40" t="s">
        <v>322</v>
      </c>
      <c r="B22" s="41" t="s">
        <v>269</v>
      </c>
      <c r="C22" s="513">
        <f>'1.Project Cost and MOF'!D10</f>
        <v>9.3022189999999991</v>
      </c>
      <c r="D22" s="513"/>
      <c r="E22" s="513"/>
      <c r="F22" s="513"/>
      <c r="G22" s="513"/>
      <c r="H22" s="513"/>
      <c r="I22" s="513"/>
    </row>
    <row r="23" spans="1:18">
      <c r="A23" s="36">
        <v>2</v>
      </c>
      <c r="B23" s="36" t="s">
        <v>231</v>
      </c>
      <c r="C23" s="515"/>
      <c r="D23" s="515"/>
      <c r="E23" s="515"/>
      <c r="F23" s="515"/>
      <c r="G23" s="515"/>
      <c r="H23" s="515"/>
      <c r="I23" s="515"/>
    </row>
    <row r="24" spans="1:18">
      <c r="A24" s="40" t="s">
        <v>229</v>
      </c>
      <c r="B24" s="39" t="s">
        <v>301</v>
      </c>
      <c r="C24" s="516">
        <f>'6.Cons Profit &amp; Loss'!B29</f>
        <v>164.23849880701755</v>
      </c>
      <c r="D24" s="516">
        <f>'6.Cons Profit &amp; Loss'!C29</f>
        <v>189.36679445614041</v>
      </c>
      <c r="E24" s="516">
        <f>'6.Cons Profit &amp; Loss'!D29</f>
        <v>215.72325054385965</v>
      </c>
      <c r="F24" s="516">
        <f>'6.Cons Profit &amp; Loss'!E29</f>
        <v>245.16445170614037</v>
      </c>
      <c r="G24" s="516">
        <f>'6.Cons Profit &amp; Loss'!F29</f>
        <v>274.74552645723696</v>
      </c>
      <c r="H24" s="516">
        <f>'6.Cons Profit &amp; Loss'!G29</f>
        <v>306.9760976433443</v>
      </c>
      <c r="I24" s="516">
        <f>'6.Cons Profit &amp; Loss'!H29</f>
        <v>344.12118977967168</v>
      </c>
      <c r="K24" s="366">
        <f t="shared" ref="K24:R24" si="1">+C6-C24-C25</f>
        <v>37.835102159649104</v>
      </c>
      <c r="L24" s="366">
        <f t="shared" si="1"/>
        <v>47.126166558859651</v>
      </c>
      <c r="M24" s="366">
        <f t="shared" si="1"/>
        <v>54.639322521890378</v>
      </c>
      <c r="N24" s="366">
        <f t="shared" si="1"/>
        <v>64.99596971289715</v>
      </c>
      <c r="O24" s="366">
        <f t="shared" si="1"/>
        <v>74.29974834275248</v>
      </c>
      <c r="P24" s="366">
        <f t="shared" si="1"/>
        <v>83.680049315894564</v>
      </c>
      <c r="Q24" s="366">
        <f t="shared" si="1"/>
        <v>91.548031748679136</v>
      </c>
      <c r="R24" s="366">
        <f t="shared" si="1"/>
        <v>0</v>
      </c>
    </row>
    <row r="25" spans="1:18">
      <c r="A25" s="40" t="s">
        <v>230</v>
      </c>
      <c r="B25" s="39" t="s">
        <v>299</v>
      </c>
      <c r="C25" s="513">
        <f>'6.Cons Profit &amp; Loss'!B40</f>
        <v>17.874665700000001</v>
      </c>
      <c r="D25" s="513">
        <f>'6.Cons Profit &amp; Loss'!C40</f>
        <v>18.766898985000001</v>
      </c>
      <c r="E25" s="513">
        <f>'6.Cons Profit &amp; Loss'!D40</f>
        <v>19.703743934249999</v>
      </c>
      <c r="F25" s="513">
        <f>'6.Cons Profit &amp; Loss'!E40</f>
        <v>20.687431130962505</v>
      </c>
      <c r="G25" s="513">
        <f>'6.Cons Profit &amp; Loss'!F40</f>
        <v>21.720302687510632</v>
      </c>
      <c r="H25" s="513">
        <f>'6.Cons Profit &amp; Loss'!G40</f>
        <v>22.804817821886164</v>
      </c>
      <c r="I25" s="513">
        <f>'6.Cons Profit &amp; Loss'!H40</f>
        <v>23.943558712980469</v>
      </c>
    </row>
    <row r="26" spans="1:18">
      <c r="A26" s="42">
        <v>3</v>
      </c>
      <c r="B26" s="36" t="s">
        <v>467</v>
      </c>
      <c r="C26" s="513"/>
      <c r="D26" s="513"/>
      <c r="E26" s="513"/>
      <c r="F26" s="513"/>
      <c r="G26" s="513"/>
      <c r="H26" s="513"/>
      <c r="I26" s="513"/>
    </row>
    <row r="27" spans="1:18">
      <c r="A27" s="40"/>
      <c r="B27" s="39" t="s">
        <v>232</v>
      </c>
      <c r="C27" s="513">
        <f>SUM('4.TL repayment sch'!E10:E21)</f>
        <v>3.6041790627360797</v>
      </c>
      <c r="D27" s="513">
        <f>SUM('4.TL repayment sch'!E22:E33)</f>
        <v>7.7117146477378258</v>
      </c>
      <c r="E27" s="513">
        <f>SUM('4.TL repayment sch'!E34:E45)</f>
        <v>8.4351266745659874</v>
      </c>
      <c r="F27" s="513">
        <f>SUM('4.TL repayment sch'!E46:E57)</f>
        <v>9.2263997393687802</v>
      </c>
      <c r="G27" s="513">
        <f>SUM('4.TL repayment sch'!E58:E69)</f>
        <v>10.091899675591332</v>
      </c>
      <c r="H27" s="513">
        <f>SUM('4.TL repayment sch'!E70:E81)</f>
        <v>0</v>
      </c>
      <c r="I27" s="513">
        <f>SUM('4.TL repayment sch'!E82:E93)</f>
        <v>0</v>
      </c>
    </row>
    <row r="28" spans="1:18">
      <c r="A28" s="40"/>
      <c r="B28" s="39" t="s">
        <v>233</v>
      </c>
      <c r="C28" s="513">
        <f>SUM('4.TL repayment sch'!D10:D21)</f>
        <v>3.4492495085300381</v>
      </c>
      <c r="D28" s="513">
        <f>SUM('4.TL repayment sch'!D22:D33)</f>
        <v>2.8789037127944104</v>
      </c>
      <c r="E28" s="513">
        <f>SUM('4.TL repayment sch'!D34:D45)</f>
        <v>2.1554916859662474</v>
      </c>
      <c r="F28" s="513">
        <f>SUM('4.TL repayment sch'!D46:D57)</f>
        <v>1.3642186211634557</v>
      </c>
      <c r="G28" s="513">
        <f>SUM('4.TL repayment sch'!D58:D69)</f>
        <v>0.49871868494090371</v>
      </c>
      <c r="H28" s="513">
        <f>SUM('4.TL repayment sch'!D70:D81)</f>
        <v>0</v>
      </c>
      <c r="I28" s="513">
        <f>SUM('4.TL repayment sch'!D82:D93)</f>
        <v>0</v>
      </c>
    </row>
    <row r="29" spans="1:18">
      <c r="A29" s="40"/>
      <c r="B29" s="39" t="s">
        <v>234</v>
      </c>
      <c r="C29" s="513">
        <v>0</v>
      </c>
      <c r="D29" s="513">
        <v>0</v>
      </c>
      <c r="E29" s="513">
        <v>0</v>
      </c>
      <c r="F29" s="513">
        <v>0</v>
      </c>
      <c r="G29" s="513">
        <v>0</v>
      </c>
      <c r="H29" s="513">
        <v>0</v>
      </c>
      <c r="I29" s="513">
        <v>0</v>
      </c>
    </row>
    <row r="30" spans="1:18">
      <c r="A30" s="40"/>
      <c r="B30" s="39" t="s">
        <v>235</v>
      </c>
      <c r="C30" s="513">
        <f>+'6.Cons Profit &amp; Loss'!B52</f>
        <v>0.76845994964802611</v>
      </c>
      <c r="D30" s="517">
        <f>+'6.Cons Profit &amp; Loss'!C52</f>
        <v>0.95553937439358561</v>
      </c>
      <c r="E30" s="517">
        <f>+'6.Cons Profit &amp; Loss'!D52</f>
        <v>1.0770295641856336</v>
      </c>
      <c r="F30" s="517">
        <f>+'6.Cons Profit &amp; Loss'!E52</f>
        <v>1.230371984322546</v>
      </c>
      <c r="G30" s="517">
        <f>+'6.Cons Profit &amp; Loss'!F52</f>
        <v>1.374380013334233</v>
      </c>
      <c r="H30" s="517">
        <f>+'6.Cons Profit &amp; Loss'!G52</f>
        <v>1.5373687214370633</v>
      </c>
      <c r="I30" s="517">
        <f>+'6.Cons Profit &amp; Loss'!H52</f>
        <v>1.8002944022550702</v>
      </c>
    </row>
    <row r="31" spans="1:18">
      <c r="A31" s="36">
        <v>4</v>
      </c>
      <c r="B31" s="36" t="s">
        <v>236</v>
      </c>
      <c r="C31" s="513">
        <f>+'6.Cons Profit &amp; Loss'!B55</f>
        <v>2.6639635883824688</v>
      </c>
      <c r="D31" s="513">
        <f>+'6.Cons Profit &amp; Loss'!C55</f>
        <v>5.9123917116346263</v>
      </c>
      <c r="E31" s="513">
        <f>+'6.Cons Profit &amp; Loss'!D55</f>
        <v>8.6596590442020123</v>
      </c>
      <c r="F31" s="513">
        <f>+'6.Cons Profit &amp; Loss'!E55</f>
        <v>12.072783590344395</v>
      </c>
      <c r="G31" s="513">
        <f>+'6.Cons Profit &amp; Loss'!F55</f>
        <v>15.162218435518986</v>
      </c>
      <c r="H31" s="513">
        <f>+'6.Cons Profit &amp; Loss'!G55</f>
        <v>18.109180620920593</v>
      </c>
      <c r="I31" s="513">
        <f>+'6.Cons Profit &amp; Loss'!H55</f>
        <v>20.453493771907652</v>
      </c>
    </row>
    <row r="32" spans="1:18">
      <c r="A32" s="36"/>
      <c r="B32" s="36" t="s">
        <v>237</v>
      </c>
      <c r="C32" s="518">
        <f t="shared" ref="C32:I32" si="2">SUM(C17:C31)</f>
        <v>387.94561561631411</v>
      </c>
      <c r="D32" s="518">
        <f t="shared" si="2"/>
        <v>225.59224288770088</v>
      </c>
      <c r="E32" s="518">
        <f t="shared" si="2"/>
        <v>255.75430144702952</v>
      </c>
      <c r="F32" s="518">
        <f t="shared" si="2"/>
        <v>289.74565677230208</v>
      </c>
      <c r="G32" s="518">
        <f t="shared" si="2"/>
        <v>323.59304595413306</v>
      </c>
      <c r="H32" s="518">
        <f t="shared" si="2"/>
        <v>349.42746480758814</v>
      </c>
      <c r="I32" s="518">
        <f t="shared" si="2"/>
        <v>390.31853666681485</v>
      </c>
    </row>
    <row r="33" spans="1:10">
      <c r="A33" s="36"/>
      <c r="B33" s="36" t="s">
        <v>238</v>
      </c>
      <c r="C33" s="518">
        <f t="shared" ref="C33:I33" si="3">C14-C32</f>
        <v>19.753972164671609</v>
      </c>
      <c r="D33" s="518">
        <f t="shared" si="3"/>
        <v>19.13038654186937</v>
      </c>
      <c r="E33" s="518">
        <f t="shared" si="3"/>
        <v>22.138974411336307</v>
      </c>
      <c r="F33" s="518">
        <f t="shared" si="3"/>
        <v>26.157674761228577</v>
      </c>
      <c r="G33" s="518">
        <f t="shared" si="3"/>
        <v>29.835039843717936</v>
      </c>
      <c r="H33" s="518">
        <f t="shared" si="3"/>
        <v>44.256535404836598</v>
      </c>
      <c r="I33" s="518">
        <f t="shared" si="3"/>
        <v>47.305881809491211</v>
      </c>
    </row>
    <row r="34" spans="1:10">
      <c r="A34" s="42"/>
      <c r="B34" s="39" t="s">
        <v>239</v>
      </c>
      <c r="C34" s="515"/>
      <c r="D34" s="515">
        <f t="shared" ref="D34:I34" si="4">C35</f>
        <v>19.753972164671609</v>
      </c>
      <c r="E34" s="515">
        <f t="shared" si="4"/>
        <v>38.884358706540979</v>
      </c>
      <c r="F34" s="515">
        <f t="shared" si="4"/>
        <v>61.023333117877286</v>
      </c>
      <c r="G34" s="515">
        <f t="shared" si="4"/>
        <v>87.181007879105863</v>
      </c>
      <c r="H34" s="515">
        <f t="shared" si="4"/>
        <v>117.0160477228238</v>
      </c>
      <c r="I34" s="515">
        <f t="shared" si="4"/>
        <v>161.2725831276604</v>
      </c>
    </row>
    <row r="35" spans="1:10">
      <c r="A35" s="36"/>
      <c r="B35" s="43" t="s">
        <v>240</v>
      </c>
      <c r="C35" s="518">
        <f t="shared" ref="C35:I35" si="5">C33+C34</f>
        <v>19.753972164671609</v>
      </c>
      <c r="D35" s="518">
        <f t="shared" si="5"/>
        <v>38.884358706540979</v>
      </c>
      <c r="E35" s="518">
        <f t="shared" si="5"/>
        <v>61.023333117877286</v>
      </c>
      <c r="F35" s="518">
        <f t="shared" si="5"/>
        <v>87.181007879105863</v>
      </c>
      <c r="G35" s="518">
        <f t="shared" si="5"/>
        <v>117.0160477228238</v>
      </c>
      <c r="H35" s="518">
        <f t="shared" si="5"/>
        <v>161.2725831276604</v>
      </c>
      <c r="I35" s="518">
        <f t="shared" si="5"/>
        <v>208.57846493715161</v>
      </c>
    </row>
    <row r="36" spans="1:10">
      <c r="A36" s="141"/>
      <c r="B36" s="542"/>
      <c r="C36" s="543">
        <f>+'7.Balance Sheet'!B8</f>
        <v>19.753972164671609</v>
      </c>
      <c r="D36" s="543">
        <f>+'7.Balance Sheet'!C8</f>
        <v>38.884358706540979</v>
      </c>
      <c r="E36" s="543">
        <f>+'7.Balance Sheet'!D8</f>
        <v>61.023333117877286</v>
      </c>
      <c r="F36" s="543">
        <f>+'7.Balance Sheet'!E8</f>
        <v>87.181007879105863</v>
      </c>
      <c r="G36" s="543">
        <f>+'7.Balance Sheet'!F8</f>
        <v>117.0160477228238</v>
      </c>
      <c r="H36" s="543">
        <f>+'7.Balance Sheet'!G8</f>
        <v>161.2725831276604</v>
      </c>
      <c r="I36" s="543">
        <f>+'7.Balance Sheet'!H8</f>
        <v>208.57846493715161</v>
      </c>
    </row>
    <row r="37" spans="1:10">
      <c r="C37" s="366">
        <f>+C35-C36</f>
        <v>0</v>
      </c>
      <c r="D37" s="366">
        <f t="shared" ref="D37:I37" si="6">+D35-D36</f>
        <v>0</v>
      </c>
      <c r="E37" s="366">
        <f t="shared" si="6"/>
        <v>0</v>
      </c>
      <c r="F37" s="366">
        <f t="shared" si="6"/>
        <v>0</v>
      </c>
      <c r="G37" s="366">
        <f t="shared" si="6"/>
        <v>0</v>
      </c>
      <c r="H37" s="366">
        <f t="shared" si="6"/>
        <v>0</v>
      </c>
      <c r="I37" s="366">
        <f t="shared" si="6"/>
        <v>0</v>
      </c>
    </row>
    <row r="38" spans="1:10" ht="39.950000000000003" customHeight="1">
      <c r="A38" s="754" t="s">
        <v>390</v>
      </c>
      <c r="B38" s="754"/>
      <c r="C38" s="754"/>
      <c r="D38" s="754"/>
      <c r="E38" s="754"/>
      <c r="F38" s="754"/>
      <c r="G38" s="754"/>
      <c r="H38" s="754"/>
      <c r="I38" s="754"/>
      <c r="J38" s="620"/>
    </row>
    <row r="40" spans="1:10">
      <c r="C40" s="56"/>
    </row>
    <row r="41" spans="1:10">
      <c r="C41" s="56"/>
    </row>
    <row r="42" spans="1:10">
      <c r="C42" s="56"/>
    </row>
    <row r="43" spans="1:10">
      <c r="C43" s="56"/>
    </row>
    <row r="44" spans="1:10">
      <c r="C44" s="56"/>
    </row>
  </sheetData>
  <mergeCells count="4">
    <mergeCell ref="A1:G1"/>
    <mergeCell ref="A15:B15"/>
    <mergeCell ref="A2:I2"/>
    <mergeCell ref="A38:I38"/>
  </mergeCells>
  <pageMargins left="0.7" right="0.7" top="0.75" bottom="0.75" header="0.3" footer="0.3"/>
  <pageSetup scale="6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5:S181"/>
  <sheetViews>
    <sheetView view="pageBreakPreview" zoomScale="70" zoomScaleSheetLayoutView="70" workbookViewId="0">
      <selection activeCell="B7" sqref="B7:J22"/>
    </sheetView>
  </sheetViews>
  <sheetFormatPr defaultRowHeight="15"/>
  <cols>
    <col min="2" max="2" width="32.7109375" bestFit="1" customWidth="1"/>
    <col min="3" max="3" width="13.140625" customWidth="1"/>
    <col min="4" max="9" width="10.140625" customWidth="1"/>
    <col min="10" max="10" width="14.85546875" customWidth="1"/>
    <col min="11" max="11" width="14.42578125" customWidth="1"/>
    <col min="12" max="12" width="14.85546875" bestFit="1" customWidth="1"/>
    <col min="13" max="18" width="11.85546875" bestFit="1" customWidth="1"/>
    <col min="19" max="19" width="4.5703125" bestFit="1" customWidth="1"/>
  </cols>
  <sheetData>
    <row r="5" spans="2:12" ht="18.75">
      <c r="B5" s="755" t="s">
        <v>506</v>
      </c>
      <c r="C5" s="755"/>
      <c r="D5" s="755"/>
      <c r="E5" s="755"/>
      <c r="F5" s="755"/>
      <c r="G5" s="755"/>
      <c r="H5" s="755"/>
      <c r="I5" s="755"/>
      <c r="J5" s="755"/>
    </row>
    <row r="6" spans="2:12" ht="16.5">
      <c r="B6" s="8"/>
      <c r="C6" s="8"/>
      <c r="D6" s="8"/>
      <c r="E6" s="8"/>
      <c r="F6" s="8"/>
      <c r="G6" s="8"/>
      <c r="H6" s="8"/>
      <c r="I6" s="8"/>
      <c r="J6" s="8"/>
    </row>
    <row r="7" spans="2:12" ht="15.75">
      <c r="B7" s="73" t="s">
        <v>28</v>
      </c>
      <c r="C7" s="74" t="s">
        <v>323</v>
      </c>
      <c r="D7" s="74" t="s">
        <v>2</v>
      </c>
      <c r="E7" s="74" t="s">
        <v>3</v>
      </c>
      <c r="F7" s="74" t="s">
        <v>4</v>
      </c>
      <c r="G7" s="74" t="s">
        <v>5</v>
      </c>
      <c r="H7" s="74" t="s">
        <v>6</v>
      </c>
      <c r="I7" s="74" t="s">
        <v>163</v>
      </c>
      <c r="J7" s="74" t="s">
        <v>162</v>
      </c>
      <c r="L7" s="309"/>
    </row>
    <row r="8" spans="2:12">
      <c r="B8" s="75"/>
      <c r="C8" s="75"/>
      <c r="D8" s="75"/>
      <c r="E8" s="75"/>
      <c r="F8" s="75"/>
      <c r="G8" s="75"/>
      <c r="H8" s="75"/>
      <c r="I8" s="75"/>
      <c r="J8" s="75"/>
    </row>
    <row r="9" spans="2:12">
      <c r="B9" s="75" t="s">
        <v>29</v>
      </c>
      <c r="C9" s="75"/>
      <c r="D9" s="76">
        <f>'6.Cons Profit &amp; Loss'!B56</f>
        <v>21.700793959088564</v>
      </c>
      <c r="E9" s="76">
        <f>'6.Cons Profit &amp; Loss'!C56</f>
        <v>28.126696606037015</v>
      </c>
      <c r="F9" s="76">
        <f>'6.Cons Profit &amp; Loss'!D56</f>
        <v>33.494507073536496</v>
      </c>
      <c r="G9" s="76">
        <f>'6.Cons Profit &amp; Loss'!E56</f>
        <v>41.075960363066748</v>
      </c>
      <c r="H9" s="76">
        <f>'6.Cons Profit &amp; Loss'!F56</f>
        <v>48.01179605495836</v>
      </c>
      <c r="I9" s="76">
        <f>'6.Cons Profit &amp; Loss'!G56</f>
        <v>54.780864819536902</v>
      </c>
      <c r="J9" s="76">
        <f>'6.Cons Profit &amp; Loss'!H56</f>
        <v>60.041608420516404</v>
      </c>
    </row>
    <row r="10" spans="2:12">
      <c r="B10" s="75"/>
      <c r="C10" s="75"/>
      <c r="D10" s="76"/>
      <c r="E10" s="76"/>
      <c r="F10" s="76"/>
      <c r="G10" s="76"/>
      <c r="H10" s="76"/>
      <c r="I10" s="76"/>
      <c r="J10" s="76"/>
    </row>
    <row r="11" spans="2:12">
      <c r="B11" s="77" t="s">
        <v>30</v>
      </c>
      <c r="C11" s="77"/>
      <c r="D11" s="76">
        <f>'6.Cons Profit &amp; Loss'!B46</f>
        <v>8.3224132540000006</v>
      </c>
      <c r="E11" s="76">
        <f>'6.Cons Profit &amp; Loss'!C46</f>
        <v>8.3224132540000006</v>
      </c>
      <c r="F11" s="76">
        <f>'6.Cons Profit &amp; Loss'!D46</f>
        <v>8.3224132540000006</v>
      </c>
      <c r="G11" s="76">
        <f>'6.Cons Profit &amp; Loss'!E46</f>
        <v>8.3224132540000006</v>
      </c>
      <c r="H11" s="76">
        <f>'6.Cons Profit &amp; Loss'!F46</f>
        <v>8.3224132540000006</v>
      </c>
      <c r="I11" s="76">
        <f>'6.Cons Profit &amp; Loss'!G46</f>
        <v>8.3224132540000006</v>
      </c>
      <c r="J11" s="76">
        <f>'6.Cons Profit &amp; Loss'!H46</f>
        <v>8.3224132540000006</v>
      </c>
    </row>
    <row r="12" spans="2:12">
      <c r="B12" s="75" t="s">
        <v>35</v>
      </c>
      <c r="C12" s="75"/>
      <c r="D12" s="76">
        <f>'6.Cons Profit &amp; Loss'!B47</f>
        <v>0.93022189999999993</v>
      </c>
      <c r="E12" s="76">
        <f>'6.Cons Profit &amp; Loss'!C47</f>
        <v>0.93022189999999993</v>
      </c>
      <c r="F12" s="76">
        <f>'6.Cons Profit &amp; Loss'!D47</f>
        <v>0.93022189999999993</v>
      </c>
      <c r="G12" s="76">
        <f>'6.Cons Profit &amp; Loss'!E47</f>
        <v>0.93022189999999993</v>
      </c>
      <c r="H12" s="76">
        <f>'6.Cons Profit &amp; Loss'!F47</f>
        <v>0.93022189999999993</v>
      </c>
      <c r="I12" s="76">
        <f>'6.Cons Profit &amp; Loss'!G47</f>
        <v>0.93022189999999993</v>
      </c>
      <c r="J12" s="76">
        <f>'6.Cons Profit &amp; Loss'!H47</f>
        <v>0.93022189999999993</v>
      </c>
    </row>
    <row r="13" spans="2:12">
      <c r="B13" s="75"/>
      <c r="C13" s="75"/>
      <c r="D13" s="75"/>
      <c r="E13" s="75"/>
      <c r="F13" s="75"/>
      <c r="G13" s="75"/>
      <c r="H13" s="75"/>
      <c r="I13" s="75"/>
      <c r="J13" s="75"/>
    </row>
    <row r="14" spans="2:12">
      <c r="B14" s="75" t="s">
        <v>31</v>
      </c>
      <c r="C14" s="75"/>
      <c r="D14" s="76">
        <f>SUM(D9:D12)</f>
        <v>30.953429113088564</v>
      </c>
      <c r="E14" s="76">
        <f t="shared" ref="E14:J14" si="0">SUM(E9:E12)</f>
        <v>37.379331760037012</v>
      </c>
      <c r="F14" s="76">
        <f t="shared" si="0"/>
        <v>42.747142227536493</v>
      </c>
      <c r="G14" s="76">
        <f t="shared" si="0"/>
        <v>50.328595517066752</v>
      </c>
      <c r="H14" s="76">
        <f t="shared" si="0"/>
        <v>57.264431208958364</v>
      </c>
      <c r="I14" s="76">
        <f t="shared" si="0"/>
        <v>64.033499973536905</v>
      </c>
      <c r="J14" s="76">
        <f t="shared" si="0"/>
        <v>69.294243574516415</v>
      </c>
    </row>
    <row r="15" spans="2:12">
      <c r="B15" s="75" t="s">
        <v>332</v>
      </c>
      <c r="C15" s="78">
        <f>-'1.Project Cost and MOF'!D12</f>
        <v>-198.19274696165937</v>
      </c>
      <c r="D15" s="76">
        <f>D14</f>
        <v>30.953429113088564</v>
      </c>
      <c r="E15" s="76">
        <f t="shared" ref="E15:J15" si="1">E14</f>
        <v>37.379331760037012</v>
      </c>
      <c r="F15" s="76">
        <f t="shared" si="1"/>
        <v>42.747142227536493</v>
      </c>
      <c r="G15" s="76">
        <f t="shared" si="1"/>
        <v>50.328595517066752</v>
      </c>
      <c r="H15" s="76">
        <f t="shared" si="1"/>
        <v>57.264431208958364</v>
      </c>
      <c r="I15" s="76">
        <f t="shared" si="1"/>
        <v>64.033499973536905</v>
      </c>
      <c r="J15" s="76">
        <f t="shared" si="1"/>
        <v>69.294243574516415</v>
      </c>
    </row>
    <row r="16" spans="2:12">
      <c r="B16" s="75" t="s">
        <v>271</v>
      </c>
      <c r="C16" s="228">
        <f>IRR(C15:J15)</f>
        <v>0.14425130043148759</v>
      </c>
      <c r="D16" s="76"/>
      <c r="E16" s="76"/>
      <c r="F16" s="76"/>
      <c r="G16" s="76"/>
      <c r="H16" s="76"/>
      <c r="I16" s="76"/>
      <c r="J16" s="76"/>
    </row>
    <row r="17" spans="2:19">
      <c r="B17" s="75"/>
      <c r="C17" s="75"/>
      <c r="D17" s="75"/>
      <c r="E17" s="75"/>
      <c r="F17" s="75"/>
      <c r="G17" s="75"/>
      <c r="H17" s="75"/>
      <c r="I17" s="75"/>
      <c r="J17" s="75"/>
    </row>
    <row r="18" spans="2:19" ht="16.5">
      <c r="B18" s="229" t="s">
        <v>387</v>
      </c>
      <c r="C18" s="229"/>
      <c r="D18" s="230">
        <f>1/(1+$C$16)</f>
        <v>0.87393389863127824</v>
      </c>
      <c r="E18" s="231">
        <f t="shared" ref="E18:J18" si="2">D18/(1+$C$16)</f>
        <v>0.7637604591768653</v>
      </c>
      <c r="F18" s="231">
        <f t="shared" si="2"/>
        <v>0.6674761557088531</v>
      </c>
      <c r="G18" s="231">
        <f t="shared" si="2"/>
        <v>0.58333003900205616</v>
      </c>
      <c r="H18" s="231">
        <f t="shared" si="2"/>
        <v>0.50979189517380252</v>
      </c>
      <c r="I18" s="231">
        <f t="shared" si="2"/>
        <v>0.44552441843986917</v>
      </c>
      <c r="J18" s="231">
        <f t="shared" si="2"/>
        <v>0.38935889194258783</v>
      </c>
      <c r="L18" s="17"/>
      <c r="M18" s="17"/>
      <c r="N18" s="17"/>
      <c r="O18" s="17"/>
      <c r="P18" s="17"/>
      <c r="Q18" s="17"/>
      <c r="R18" s="17"/>
      <c r="S18" s="17"/>
    </row>
    <row r="19" spans="2:19">
      <c r="B19" s="75" t="s">
        <v>32</v>
      </c>
      <c r="C19" s="75"/>
      <c r="D19" s="76">
        <f t="shared" ref="D19:J19" si="3">D14*D18</f>
        <v>27.051250980808398</v>
      </c>
      <c r="E19" s="76">
        <f t="shared" si="3"/>
        <v>28.548855588770252</v>
      </c>
      <c r="F19" s="76">
        <f t="shared" si="3"/>
        <v>28.532698161575638</v>
      </c>
      <c r="G19" s="76">
        <f t="shared" si="3"/>
        <v>29.358181585889255</v>
      </c>
      <c r="H19" s="76">
        <f t="shared" si="3"/>
        <v>29.192942912064726</v>
      </c>
      <c r="I19" s="76">
        <f t="shared" si="3"/>
        <v>28.528487836379409</v>
      </c>
      <c r="J19" s="76">
        <f t="shared" si="3"/>
        <v>26.980329896173497</v>
      </c>
      <c r="L19" s="6"/>
    </row>
    <row r="20" spans="2:19">
      <c r="B20" s="75" t="s">
        <v>33</v>
      </c>
      <c r="C20" s="75"/>
      <c r="D20" s="761">
        <f>SUM(D19:J19)</f>
        <v>198.19274696166119</v>
      </c>
      <c r="E20" s="761"/>
      <c r="F20" s="761"/>
      <c r="G20" s="761"/>
      <c r="H20" s="761"/>
      <c r="I20" s="761"/>
      <c r="J20" s="761"/>
      <c r="L20" s="6"/>
    </row>
    <row r="21" spans="2:19">
      <c r="B21" s="75"/>
      <c r="C21" s="75"/>
      <c r="D21" s="76"/>
      <c r="E21" s="76"/>
      <c r="F21" s="76"/>
      <c r="G21" s="76"/>
      <c r="H21" s="76"/>
      <c r="I21" s="76"/>
      <c r="J21" s="76"/>
    </row>
    <row r="22" spans="2:19">
      <c r="B22" s="9" t="s">
        <v>34</v>
      </c>
      <c r="C22" s="9"/>
      <c r="D22" s="762">
        <f>'1.Project Cost and MOF'!D12</f>
        <v>198.19274696165937</v>
      </c>
      <c r="E22" s="762"/>
      <c r="F22" s="762"/>
      <c r="G22" s="762"/>
      <c r="H22" s="762"/>
      <c r="I22" s="762"/>
      <c r="J22" s="762"/>
    </row>
    <row r="23" spans="2:19">
      <c r="F23" s="17">
        <f>D20-D22</f>
        <v>1.8189894035458565E-12</v>
      </c>
    </row>
    <row r="24" spans="2:19" ht="29.45" customHeight="1">
      <c r="B24" s="756" t="s">
        <v>404</v>
      </c>
      <c r="C24" s="756"/>
      <c r="D24" s="756"/>
      <c r="E24" s="756"/>
      <c r="F24" s="756"/>
      <c r="G24" s="756"/>
      <c r="H24" s="756"/>
      <c r="I24" s="756"/>
      <c r="J24" s="756"/>
    </row>
    <row r="25" spans="2:19">
      <c r="K25" s="17"/>
      <c r="L25" s="17"/>
      <c r="M25" s="17"/>
    </row>
    <row r="26" spans="2:19" ht="18.75">
      <c r="B26" s="703" t="s">
        <v>507</v>
      </c>
      <c r="C26" s="703"/>
      <c r="D26" s="703"/>
      <c r="E26" s="703"/>
      <c r="F26" s="703"/>
      <c r="G26" s="703"/>
      <c r="H26" s="703"/>
      <c r="I26" s="703"/>
    </row>
    <row r="27" spans="2:19">
      <c r="K27" s="17"/>
    </row>
    <row r="28" spans="2:19">
      <c r="B28" s="96" t="s">
        <v>0</v>
      </c>
      <c r="C28" s="89" t="s">
        <v>2</v>
      </c>
      <c r="D28" s="89" t="s">
        <v>3</v>
      </c>
      <c r="E28" s="89" t="s">
        <v>4</v>
      </c>
      <c r="F28" s="89" t="s">
        <v>5</v>
      </c>
      <c r="G28" s="89" t="s">
        <v>6</v>
      </c>
      <c r="H28" s="89" t="s">
        <v>163</v>
      </c>
      <c r="I28" s="89" t="s">
        <v>162</v>
      </c>
    </row>
    <row r="29" spans="2:19">
      <c r="B29" s="80"/>
      <c r="C29" s="80"/>
      <c r="D29" s="80"/>
      <c r="E29" s="80"/>
      <c r="F29" s="80"/>
      <c r="G29" s="80"/>
      <c r="H29" s="80"/>
      <c r="I29" s="80"/>
    </row>
    <row r="30" spans="2:19">
      <c r="B30" s="80" t="s">
        <v>26</v>
      </c>
      <c r="C30" s="80"/>
      <c r="D30" s="80"/>
      <c r="E30" s="80"/>
      <c r="F30" s="80"/>
      <c r="G30" s="80"/>
      <c r="H30" s="80"/>
      <c r="I30" s="80"/>
    </row>
    <row r="31" spans="2:19">
      <c r="B31" s="80"/>
      <c r="C31" s="81"/>
      <c r="D31" s="81"/>
      <c r="E31" s="81"/>
      <c r="F31" s="81"/>
      <c r="G31" s="81"/>
      <c r="H31" s="81"/>
      <c r="I31" s="81"/>
    </row>
    <row r="32" spans="2:19">
      <c r="B32" s="93" t="str">
        <f>'6.Cons Profit &amp; Loss'!A8</f>
        <v>Faclitiy 1 - Cleaning &amp; Grading</v>
      </c>
      <c r="C32" s="81">
        <f>'6.Cons Profit &amp; Loss'!B8</f>
        <v>0</v>
      </c>
      <c r="D32" s="81">
        <f>'6.Cons Profit &amp; Loss'!C8</f>
        <v>0</v>
      </c>
      <c r="E32" s="81">
        <f>'6.Cons Profit &amp; Loss'!D8</f>
        <v>0</v>
      </c>
      <c r="F32" s="81">
        <f>'6.Cons Profit &amp; Loss'!E8</f>
        <v>0</v>
      </c>
      <c r="G32" s="81">
        <f>'6.Cons Profit &amp; Loss'!F8</f>
        <v>0</v>
      </c>
      <c r="H32" s="81">
        <f>'6.Cons Profit &amp; Loss'!G8</f>
        <v>0</v>
      </c>
      <c r="I32" s="81">
        <f>'6.Cons Profit &amp; Loss'!H8</f>
        <v>0</v>
      </c>
    </row>
    <row r="33" spans="2:10">
      <c r="B33" s="93" t="str">
        <f>'6.Cons Profit &amp; Loss'!A9</f>
        <v>Faclitiy 2 - Processing Unit- Dal Mill</v>
      </c>
      <c r="C33" s="81">
        <f>'6.Cons Profit &amp; Loss'!B9</f>
        <v>0</v>
      </c>
      <c r="D33" s="81">
        <f>'6.Cons Profit &amp; Loss'!C9</f>
        <v>0</v>
      </c>
      <c r="E33" s="81">
        <f>'6.Cons Profit &amp; Loss'!D9</f>
        <v>0</v>
      </c>
      <c r="F33" s="81">
        <f>'6.Cons Profit &amp; Loss'!E9</f>
        <v>0</v>
      </c>
      <c r="G33" s="81">
        <f>'6.Cons Profit &amp; Loss'!F9</f>
        <v>0</v>
      </c>
      <c r="H33" s="81">
        <f>'6.Cons Profit &amp; Loss'!G9</f>
        <v>0</v>
      </c>
      <c r="I33" s="81">
        <f>'6.Cons Profit &amp; Loss'!H9</f>
        <v>0</v>
      </c>
    </row>
    <row r="34" spans="2:10">
      <c r="B34" s="93" t="str">
        <f>'6.Cons Profit &amp; Loss'!A10</f>
        <v>Faclitiy 3 - Warehouse</v>
      </c>
      <c r="C34" s="81">
        <f>'6.Cons Profit &amp; Loss'!B10</f>
        <v>0</v>
      </c>
      <c r="D34" s="81">
        <f>'6.Cons Profit &amp; Loss'!C10</f>
        <v>0</v>
      </c>
      <c r="E34" s="81">
        <f>'6.Cons Profit &amp; Loss'!D10</f>
        <v>0</v>
      </c>
      <c r="F34" s="81">
        <f>'6.Cons Profit &amp; Loss'!E10</f>
        <v>0</v>
      </c>
      <c r="G34" s="81">
        <f>'6.Cons Profit &amp; Loss'!F10</f>
        <v>0</v>
      </c>
      <c r="H34" s="81">
        <f>'6.Cons Profit &amp; Loss'!G10</f>
        <v>0</v>
      </c>
      <c r="I34" s="81">
        <f>'6.Cons Profit &amp; Loss'!H10</f>
        <v>0</v>
      </c>
    </row>
    <row r="35" spans="2:10">
      <c r="B35" s="93" t="str">
        <f>'6.Cons Profit &amp; Loss'!A11</f>
        <v xml:space="preserve">Faclitiy 4 - Custom Hiring </v>
      </c>
      <c r="C35" s="81">
        <f>'6.Cons Profit &amp; Loss'!B11</f>
        <v>0</v>
      </c>
      <c r="D35" s="81">
        <f>'6.Cons Profit &amp; Loss'!C11</f>
        <v>0</v>
      </c>
      <c r="E35" s="81">
        <f>'6.Cons Profit &amp; Loss'!D11</f>
        <v>0</v>
      </c>
      <c r="F35" s="81">
        <f>'6.Cons Profit &amp; Loss'!E11</f>
        <v>0</v>
      </c>
      <c r="G35" s="81">
        <f>'6.Cons Profit &amp; Loss'!F11</f>
        <v>0</v>
      </c>
      <c r="H35" s="81">
        <f>'6.Cons Profit &amp; Loss'!G11</f>
        <v>0</v>
      </c>
      <c r="I35" s="81">
        <f>'6.Cons Profit &amp; Loss'!H11</f>
        <v>0</v>
      </c>
    </row>
    <row r="36" spans="2:10">
      <c r="B36" s="93" t="str">
        <f>'6.Cons Profit &amp; Loss'!A12</f>
        <v>Faclitiy 5 - Agri Input Centre</v>
      </c>
      <c r="C36" s="81">
        <f>'6.Cons Profit &amp; Loss'!B12</f>
        <v>0</v>
      </c>
      <c r="D36" s="81">
        <f>'6.Cons Profit &amp; Loss'!C12</f>
        <v>0</v>
      </c>
      <c r="E36" s="81">
        <f>'6.Cons Profit &amp; Loss'!D12</f>
        <v>0</v>
      </c>
      <c r="F36" s="81">
        <f>'6.Cons Profit &amp; Loss'!E12</f>
        <v>0</v>
      </c>
      <c r="G36" s="81">
        <f>'6.Cons Profit &amp; Loss'!F12</f>
        <v>0</v>
      </c>
      <c r="H36" s="81">
        <f>'6.Cons Profit &amp; Loss'!G12</f>
        <v>0</v>
      </c>
      <c r="I36" s="81">
        <f>'6.Cons Profit &amp; Loss'!H12</f>
        <v>0</v>
      </c>
    </row>
    <row r="37" spans="2:10">
      <c r="B37" s="93" t="str">
        <f>'6.Cons Profit &amp; Loss'!A13</f>
        <v>Facility 6 - Processing Unit - Oil Mill, Cleaning Grading &amp; Cattel Feed</v>
      </c>
      <c r="C37" s="81">
        <f>+'6.Cons Profit &amp; Loss'!B56</f>
        <v>21.700793959088564</v>
      </c>
      <c r="D37" s="81">
        <f>+'6.Cons Profit &amp; Loss'!C56</f>
        <v>28.126696606037015</v>
      </c>
      <c r="E37" s="81">
        <f>+'6.Cons Profit &amp; Loss'!D56</f>
        <v>33.494507073536496</v>
      </c>
      <c r="F37" s="81">
        <f>+'6.Cons Profit &amp; Loss'!E56</f>
        <v>41.075960363066748</v>
      </c>
      <c r="G37" s="81">
        <f>+'6.Cons Profit &amp; Loss'!F56</f>
        <v>48.01179605495836</v>
      </c>
      <c r="H37" s="81">
        <f>+'6.Cons Profit &amp; Loss'!G56</f>
        <v>54.780864819536902</v>
      </c>
      <c r="I37" s="81">
        <f>+'6.Cons Profit &amp; Loss'!H56</f>
        <v>60.041608420516404</v>
      </c>
    </row>
    <row r="38" spans="2:10">
      <c r="B38" s="93"/>
      <c r="C38" s="93"/>
      <c r="D38" s="93"/>
      <c r="E38" s="93"/>
      <c r="F38" s="93"/>
      <c r="G38" s="93"/>
      <c r="H38" s="93"/>
      <c r="I38" s="93"/>
    </row>
    <row r="39" spans="2:10">
      <c r="B39" s="80" t="s">
        <v>26</v>
      </c>
      <c r="C39" s="81">
        <f>SUM(C32:C38)</f>
        <v>21.700793959088564</v>
      </c>
      <c r="D39" s="81">
        <f t="shared" ref="D39:I39" si="4">SUM(D32:D38)</f>
        <v>28.126696606037015</v>
      </c>
      <c r="E39" s="81">
        <f t="shared" si="4"/>
        <v>33.494507073536496</v>
      </c>
      <c r="F39" s="81">
        <f t="shared" si="4"/>
        <v>41.075960363066748</v>
      </c>
      <c r="G39" s="81">
        <f t="shared" si="4"/>
        <v>48.01179605495836</v>
      </c>
      <c r="H39" s="81">
        <f t="shared" si="4"/>
        <v>54.780864819536902</v>
      </c>
      <c r="I39" s="81">
        <f t="shared" si="4"/>
        <v>60.041608420516404</v>
      </c>
    </row>
    <row r="40" spans="2:10">
      <c r="B40" s="80"/>
      <c r="C40" s="81"/>
      <c r="D40" s="81"/>
      <c r="E40" s="81"/>
      <c r="F40" s="81"/>
      <c r="G40" s="81"/>
      <c r="H40" s="81"/>
      <c r="I40" s="81"/>
    </row>
    <row r="41" spans="2:10">
      <c r="B41" s="82" t="s">
        <v>38</v>
      </c>
      <c r="C41" s="98">
        <f>+'6.Cons Profit &amp; Loss'!B40+'6.Cons Profit &amp; Loss'!B46+'6.Cons Profit &amp; Loss'!B47+'6.Cons Profit &amp; Loss'!B52</f>
        <v>27.895760803648027</v>
      </c>
      <c r="D41" s="98">
        <f>+'6.Cons Profit &amp; Loss'!C40+'6.Cons Profit &amp; Loss'!C46+'6.Cons Profit &amp; Loss'!C47+'6.Cons Profit &amp; Loss'!C52</f>
        <v>28.975073513393586</v>
      </c>
      <c r="E41" s="98">
        <f>+'6.Cons Profit &amp; Loss'!D40+'6.Cons Profit &amp; Loss'!D46+'6.Cons Profit &amp; Loss'!D47+'6.Cons Profit &amp; Loss'!D52</f>
        <v>30.033408652435632</v>
      </c>
      <c r="F41" s="98">
        <f>+'6.Cons Profit &amp; Loss'!E40+'6.Cons Profit &amp; Loss'!E46+'6.Cons Profit &amp; Loss'!E47+'6.Cons Profit &amp; Loss'!E52</f>
        <v>31.17043826928505</v>
      </c>
      <c r="G41" s="98">
        <f>+'6.Cons Profit &amp; Loss'!F40+'6.Cons Profit &amp; Loss'!F46+'6.Cons Profit &amp; Loss'!F47+'6.Cons Profit &amp; Loss'!F52</f>
        <v>32.347317854844867</v>
      </c>
      <c r="H41" s="98">
        <f>+'6.Cons Profit &amp; Loss'!G40+'6.Cons Profit &amp; Loss'!G46+'6.Cons Profit &amp; Loss'!G47+'6.Cons Profit &amp; Loss'!G52</f>
        <v>33.594821697323226</v>
      </c>
      <c r="I41" s="98">
        <f>+'6.Cons Profit &amp; Loss'!H40+'6.Cons Profit &amp; Loss'!H46+'6.Cons Profit &amp; Loss'!H47+'6.Cons Profit &amp; Loss'!H52</f>
        <v>34.996488269235542</v>
      </c>
    </row>
    <row r="42" spans="2:10">
      <c r="B42" s="82" t="s">
        <v>36</v>
      </c>
      <c r="C42" s="98">
        <f>+C39+C41</f>
        <v>49.596554762736588</v>
      </c>
      <c r="D42" s="98">
        <f t="shared" ref="D42:I42" si="5">+D39+D41</f>
        <v>57.101770119430597</v>
      </c>
      <c r="E42" s="98">
        <f t="shared" si="5"/>
        <v>63.527915725972129</v>
      </c>
      <c r="F42" s="98">
        <f t="shared" si="5"/>
        <v>72.246398632351799</v>
      </c>
      <c r="G42" s="98">
        <f t="shared" si="5"/>
        <v>80.359113909803227</v>
      </c>
      <c r="H42" s="98">
        <f t="shared" si="5"/>
        <v>88.375686516860128</v>
      </c>
      <c r="I42" s="98">
        <f t="shared" si="5"/>
        <v>95.038096689751939</v>
      </c>
    </row>
    <row r="43" spans="2:10">
      <c r="B43" s="80"/>
      <c r="C43" s="80"/>
      <c r="D43" s="80"/>
      <c r="E43" s="80"/>
      <c r="F43" s="80"/>
      <c r="G43" s="80"/>
      <c r="H43" s="80"/>
      <c r="I43" s="80"/>
    </row>
    <row r="44" spans="2:10">
      <c r="B44" s="80" t="s">
        <v>37</v>
      </c>
      <c r="C44" s="97">
        <f t="shared" ref="C44:I44" si="6">C41/C42</f>
        <v>0.56245360059983374</v>
      </c>
      <c r="D44" s="97">
        <f t="shared" si="6"/>
        <v>0.50742863930121751</v>
      </c>
      <c r="E44" s="97">
        <f t="shared" si="6"/>
        <v>0.47275923205138415</v>
      </c>
      <c r="F44" s="97">
        <f t="shared" si="6"/>
        <v>0.43144625696715333</v>
      </c>
      <c r="G44" s="97">
        <f t="shared" si="6"/>
        <v>0.40253452634074816</v>
      </c>
      <c r="H44" s="97">
        <f t="shared" si="6"/>
        <v>0.38013647216097241</v>
      </c>
      <c r="I44" s="97">
        <f t="shared" si="6"/>
        <v>0.36823641769131987</v>
      </c>
    </row>
    <row r="45" spans="2:10">
      <c r="B45" s="79"/>
      <c r="C45" s="79"/>
      <c r="D45" s="79"/>
      <c r="E45" s="79"/>
      <c r="F45" s="79"/>
      <c r="G45" s="79"/>
      <c r="H45" s="79"/>
      <c r="I45" s="79"/>
    </row>
    <row r="46" spans="2:10">
      <c r="B46" s="99" t="s">
        <v>129</v>
      </c>
      <c r="C46" s="100">
        <f>AVERAGE(C44:I44)</f>
        <v>0.44642787787323274</v>
      </c>
      <c r="D46" s="79"/>
      <c r="E46" s="79"/>
      <c r="F46" s="79"/>
      <c r="G46" s="79"/>
      <c r="H46" s="79"/>
      <c r="I46" s="79"/>
    </row>
    <row r="48" spans="2:10" ht="41.45" customHeight="1">
      <c r="B48" s="766" t="s">
        <v>405</v>
      </c>
      <c r="C48" s="766"/>
      <c r="D48" s="766"/>
      <c r="E48" s="766"/>
      <c r="F48" s="766"/>
      <c r="G48" s="766"/>
      <c r="H48" s="766"/>
      <c r="I48" s="766"/>
      <c r="J48" s="621"/>
    </row>
    <row r="51" spans="2:9" ht="18.75">
      <c r="B51" s="703" t="s">
        <v>508</v>
      </c>
      <c r="C51" s="703"/>
      <c r="D51" s="703"/>
      <c r="E51" s="703"/>
      <c r="F51" s="703"/>
      <c r="G51" s="703"/>
      <c r="H51" s="703"/>
      <c r="I51" s="703"/>
    </row>
    <row r="53" spans="2:9">
      <c r="B53" s="69" t="s">
        <v>28</v>
      </c>
      <c r="C53" s="70" t="s">
        <v>2</v>
      </c>
      <c r="D53" s="70" t="s">
        <v>3</v>
      </c>
      <c r="E53" s="70" t="s">
        <v>4</v>
      </c>
      <c r="F53" s="70" t="s">
        <v>5</v>
      </c>
      <c r="G53" s="70" t="s">
        <v>6</v>
      </c>
      <c r="H53" s="70" t="s">
        <v>163</v>
      </c>
      <c r="I53" s="70" t="s">
        <v>162</v>
      </c>
    </row>
    <row r="54" spans="2:9">
      <c r="B54" s="80"/>
      <c r="C54" s="80"/>
      <c r="D54" s="80"/>
      <c r="E54" s="80"/>
      <c r="F54" s="80"/>
      <c r="G54" s="80"/>
      <c r="H54" s="80"/>
      <c r="I54" s="80"/>
    </row>
    <row r="55" spans="2:9">
      <c r="B55" s="80" t="s">
        <v>363</v>
      </c>
      <c r="C55" s="524">
        <f>'6.Cons Profit &amp; Loss'!B56</f>
        <v>21.700793959088564</v>
      </c>
      <c r="D55" s="524">
        <f>'6.Cons Profit &amp; Loss'!C56</f>
        <v>28.126696606037015</v>
      </c>
      <c r="E55" s="524">
        <f>'6.Cons Profit &amp; Loss'!D56</f>
        <v>33.494507073536496</v>
      </c>
      <c r="F55" s="524">
        <f>'6.Cons Profit &amp; Loss'!E56</f>
        <v>41.075960363066748</v>
      </c>
      <c r="G55" s="524">
        <f>'6.Cons Profit &amp; Loss'!F56</f>
        <v>48.01179605495836</v>
      </c>
      <c r="H55" s="524">
        <f>'6.Cons Profit &amp; Loss'!G56</f>
        <v>54.780864819536902</v>
      </c>
      <c r="I55" s="524">
        <f>'6.Cons Profit &amp; Loss'!H56</f>
        <v>60.041608420516404</v>
      </c>
    </row>
    <row r="56" spans="2:9">
      <c r="B56" s="80"/>
      <c r="C56" s="524"/>
      <c r="D56" s="524"/>
      <c r="E56" s="524"/>
      <c r="F56" s="524"/>
      <c r="G56" s="524"/>
      <c r="H56" s="524"/>
      <c r="I56" s="524"/>
    </row>
    <row r="57" spans="2:9">
      <c r="B57" s="80" t="s">
        <v>39</v>
      </c>
      <c r="C57" s="524">
        <f>'6.Cons Profit &amp; Loss'!B46</f>
        <v>8.3224132540000006</v>
      </c>
      <c r="D57" s="524">
        <f>'6.Cons Profit &amp; Loss'!C46</f>
        <v>8.3224132540000006</v>
      </c>
      <c r="E57" s="524">
        <f>'6.Cons Profit &amp; Loss'!D46</f>
        <v>8.3224132540000006</v>
      </c>
      <c r="F57" s="524">
        <f>'6.Cons Profit &amp; Loss'!E46</f>
        <v>8.3224132540000006</v>
      </c>
      <c r="G57" s="524">
        <f>'6.Cons Profit &amp; Loss'!F46</f>
        <v>8.3224132540000006</v>
      </c>
      <c r="H57" s="524">
        <f>'6.Cons Profit &amp; Loss'!G46</f>
        <v>8.3224132540000006</v>
      </c>
      <c r="I57" s="524">
        <f>'6.Cons Profit &amp; Loss'!H46</f>
        <v>8.3224132540000006</v>
      </c>
    </row>
    <row r="58" spans="2:9">
      <c r="B58" s="92" t="s">
        <v>45</v>
      </c>
      <c r="C58" s="524">
        <f>'6.Cons Profit &amp; Loss'!B47</f>
        <v>0.93022189999999993</v>
      </c>
      <c r="D58" s="524">
        <f>'6.Cons Profit &amp; Loss'!C47</f>
        <v>0.93022189999999993</v>
      </c>
      <c r="E58" s="524">
        <f>'6.Cons Profit &amp; Loss'!D47</f>
        <v>0.93022189999999993</v>
      </c>
      <c r="F58" s="524">
        <f>'6.Cons Profit &amp; Loss'!E47</f>
        <v>0.93022189999999993</v>
      </c>
      <c r="G58" s="524">
        <f>'6.Cons Profit &amp; Loss'!F47</f>
        <v>0.93022189999999993</v>
      </c>
      <c r="H58" s="524">
        <f>'6.Cons Profit &amp; Loss'!G47</f>
        <v>0.93022189999999993</v>
      </c>
      <c r="I58" s="524">
        <f>'6.Cons Profit &amp; Loss'!H47</f>
        <v>0.93022189999999993</v>
      </c>
    </row>
    <row r="59" spans="2:9">
      <c r="B59" s="80"/>
      <c r="C59" s="524"/>
      <c r="D59" s="524"/>
      <c r="E59" s="524"/>
      <c r="F59" s="524"/>
      <c r="G59" s="524"/>
      <c r="H59" s="524"/>
      <c r="I59" s="524"/>
    </row>
    <row r="60" spans="2:9">
      <c r="B60" s="80" t="s">
        <v>31</v>
      </c>
      <c r="C60" s="524">
        <f>SUM(C55:C58)</f>
        <v>30.953429113088564</v>
      </c>
      <c r="D60" s="524">
        <f t="shared" ref="D60:I60" si="7">SUM(D55:D58)</f>
        <v>37.379331760037012</v>
      </c>
      <c r="E60" s="524">
        <f t="shared" si="7"/>
        <v>42.747142227536493</v>
      </c>
      <c r="F60" s="524">
        <f t="shared" si="7"/>
        <v>50.328595517066752</v>
      </c>
      <c r="G60" s="524">
        <f t="shared" si="7"/>
        <v>57.264431208958364</v>
      </c>
      <c r="H60" s="524">
        <f t="shared" si="7"/>
        <v>64.033499973536905</v>
      </c>
      <c r="I60" s="524">
        <f t="shared" si="7"/>
        <v>69.294243574516415</v>
      </c>
    </row>
    <row r="61" spans="2:9">
      <c r="B61" s="80"/>
      <c r="C61" s="524"/>
      <c r="D61" s="524"/>
      <c r="E61" s="524"/>
      <c r="F61" s="524"/>
      <c r="G61" s="524"/>
      <c r="H61" s="524"/>
      <c r="I61" s="524"/>
    </row>
    <row r="62" spans="2:9" ht="16.5">
      <c r="B62" s="11" t="s">
        <v>40</v>
      </c>
      <c r="C62" s="524">
        <f>1/1.1</f>
        <v>0.90909090909090906</v>
      </c>
      <c r="D62" s="524">
        <f t="shared" ref="D62:I62" si="8">C62/1.1</f>
        <v>0.82644628099173545</v>
      </c>
      <c r="E62" s="524">
        <f t="shared" si="8"/>
        <v>0.75131480090157765</v>
      </c>
      <c r="F62" s="524">
        <f t="shared" si="8"/>
        <v>0.68301345536507052</v>
      </c>
      <c r="G62" s="524">
        <f t="shared" si="8"/>
        <v>0.62092132305915493</v>
      </c>
      <c r="H62" s="524">
        <f t="shared" si="8"/>
        <v>0.56447393005377711</v>
      </c>
      <c r="I62" s="524">
        <f t="shared" si="8"/>
        <v>0.51315811823070645</v>
      </c>
    </row>
    <row r="63" spans="2:9">
      <c r="B63" s="80"/>
      <c r="C63" s="524"/>
      <c r="D63" s="524"/>
      <c r="E63" s="524"/>
      <c r="F63" s="524"/>
      <c r="G63" s="524"/>
      <c r="H63" s="524"/>
      <c r="I63" s="524"/>
    </row>
    <row r="64" spans="2:9" ht="16.5">
      <c r="B64" s="11" t="s">
        <v>41</v>
      </c>
      <c r="C64" s="525">
        <f>C60*C62</f>
        <v>28.139481011898695</v>
      </c>
      <c r="D64" s="525">
        <f t="shared" ref="D64:I64" si="9">D60*D62</f>
        <v>30.89200971903885</v>
      </c>
      <c r="E64" s="525">
        <f t="shared" si="9"/>
        <v>32.116560651793002</v>
      </c>
      <c r="F64" s="525">
        <f t="shared" si="9"/>
        <v>34.375107927782757</v>
      </c>
      <c r="G64" s="525">
        <f t="shared" si="9"/>
        <v>35.556706390496387</v>
      </c>
      <c r="H64" s="525">
        <f t="shared" si="9"/>
        <v>36.145241385160809</v>
      </c>
      <c r="I64" s="525">
        <f t="shared" si="9"/>
        <v>35.558903636919062</v>
      </c>
    </row>
    <row r="65" spans="2:10">
      <c r="B65" s="79"/>
      <c r="C65" s="95"/>
      <c r="D65" s="95"/>
      <c r="E65" s="95"/>
      <c r="F65" s="95"/>
      <c r="G65" s="95"/>
      <c r="H65" s="95"/>
      <c r="I65" s="95"/>
    </row>
    <row r="66" spans="2:10" ht="16.5">
      <c r="B66" s="12" t="s">
        <v>42</v>
      </c>
      <c r="C66" s="95">
        <f>SUM(C64:I64)</f>
        <v>232.78401072308955</v>
      </c>
      <c r="D66" s="95"/>
      <c r="E66" s="95"/>
      <c r="F66" s="95"/>
      <c r="G66" s="95"/>
      <c r="H66" s="95"/>
      <c r="I66" s="95"/>
    </row>
    <row r="67" spans="2:10">
      <c r="B67" s="79"/>
      <c r="C67" s="95"/>
      <c r="D67" s="95"/>
      <c r="E67" s="95"/>
      <c r="F67" s="95"/>
      <c r="G67" s="95"/>
      <c r="H67" s="95"/>
      <c r="I67" s="95"/>
    </row>
    <row r="68" spans="2:10" ht="16.5">
      <c r="B68" s="12" t="s">
        <v>43</v>
      </c>
      <c r="C68" s="95">
        <f>'1.Project Cost and MOF'!D12</f>
        <v>198.19274696165937</v>
      </c>
      <c r="D68" s="95"/>
      <c r="E68" s="95"/>
      <c r="F68" s="95"/>
      <c r="G68" s="95"/>
      <c r="H68" s="95"/>
      <c r="I68" s="95"/>
    </row>
    <row r="69" spans="2:10">
      <c r="B69" s="79"/>
      <c r="C69" s="94"/>
      <c r="D69" s="79"/>
      <c r="E69" s="79"/>
      <c r="F69" s="79"/>
      <c r="G69" s="79"/>
      <c r="H69" s="79"/>
      <c r="I69" s="79"/>
    </row>
    <row r="70" spans="2:10" ht="16.5">
      <c r="B70" s="12" t="s">
        <v>44</v>
      </c>
      <c r="C70" s="94">
        <f>C66-C68</f>
        <v>34.591263761430184</v>
      </c>
      <c r="D70" s="79"/>
      <c r="E70" s="79"/>
      <c r="F70" s="79"/>
      <c r="G70" s="79"/>
      <c r="H70" s="79"/>
      <c r="I70" s="79"/>
    </row>
    <row r="72" spans="2:10" ht="35.1" customHeight="1">
      <c r="B72" s="711" t="s">
        <v>406</v>
      </c>
      <c r="C72" s="711"/>
      <c r="D72" s="711"/>
      <c r="E72" s="711"/>
      <c r="F72" s="711"/>
      <c r="G72" s="711"/>
      <c r="H72" s="711"/>
      <c r="I72" s="711"/>
      <c r="J72" s="616"/>
    </row>
    <row r="73" spans="2:10" ht="18.75">
      <c r="B73" s="703" t="s">
        <v>509</v>
      </c>
      <c r="C73" s="703"/>
      <c r="D73" s="703"/>
      <c r="E73" s="703"/>
      <c r="F73" s="703"/>
      <c r="G73" s="703"/>
      <c r="H73" s="703"/>
      <c r="I73" s="703"/>
    </row>
    <row r="74" spans="2:10">
      <c r="B74" s="79"/>
      <c r="C74" s="79"/>
      <c r="D74" s="79"/>
      <c r="E74" s="79"/>
      <c r="F74" s="79"/>
      <c r="G74" s="79"/>
      <c r="H74" s="79"/>
      <c r="I74" s="79"/>
    </row>
    <row r="75" spans="2:10" ht="15.75">
      <c r="B75" s="60" t="s">
        <v>0</v>
      </c>
      <c r="C75" s="60" t="s">
        <v>2</v>
      </c>
      <c r="D75" s="60" t="s">
        <v>3</v>
      </c>
      <c r="E75" s="60" t="s">
        <v>4</v>
      </c>
      <c r="F75" s="60" t="s">
        <v>5</v>
      </c>
      <c r="G75" s="60" t="s">
        <v>6</v>
      </c>
      <c r="H75" s="60" t="s">
        <v>163</v>
      </c>
      <c r="I75" s="60" t="s">
        <v>162</v>
      </c>
    </row>
    <row r="76" spans="2:10" ht="15.75">
      <c r="B76" s="58"/>
      <c r="C76" s="59"/>
      <c r="D76" s="59"/>
      <c r="E76" s="59"/>
      <c r="F76" s="59"/>
      <c r="G76" s="59"/>
      <c r="H76" s="59"/>
      <c r="I76" s="59"/>
    </row>
    <row r="77" spans="2:10">
      <c r="B77" s="82" t="s">
        <v>26</v>
      </c>
      <c r="C77" s="81">
        <f>'6.Cons Profit &amp; Loss'!B56</f>
        <v>21.700793959088564</v>
      </c>
      <c r="D77" s="81">
        <f>'6.Cons Profit &amp; Loss'!C56</f>
        <v>28.126696606037015</v>
      </c>
      <c r="E77" s="81">
        <f>'6.Cons Profit &amp; Loss'!D56</f>
        <v>33.494507073536496</v>
      </c>
      <c r="F77" s="81">
        <f>'6.Cons Profit &amp; Loss'!E56</f>
        <v>41.075960363066748</v>
      </c>
      <c r="G77" s="81">
        <f>'6.Cons Profit &amp; Loss'!F56</f>
        <v>48.01179605495836</v>
      </c>
      <c r="H77" s="81">
        <f>'6.Cons Profit &amp; Loss'!G56</f>
        <v>54.780864819536902</v>
      </c>
      <c r="I77" s="81">
        <f>'6.Cons Profit &amp; Loss'!H56</f>
        <v>60.041608420516404</v>
      </c>
    </row>
    <row r="78" spans="2:10">
      <c r="B78" s="80"/>
      <c r="C78" s="80"/>
      <c r="D78" s="80"/>
      <c r="E78" s="80"/>
      <c r="F78" s="80"/>
      <c r="G78" s="80"/>
      <c r="H78" s="80"/>
      <c r="I78" s="80"/>
    </row>
    <row r="79" spans="2:10">
      <c r="B79" s="82" t="s">
        <v>121</v>
      </c>
      <c r="C79" s="764">
        <f>AVERAGE(C77:I77)</f>
        <v>41.033175328105777</v>
      </c>
      <c r="D79" s="764"/>
      <c r="E79" s="764"/>
      <c r="F79" s="764"/>
      <c r="G79" s="764"/>
      <c r="H79" s="764"/>
      <c r="I79" s="764"/>
    </row>
    <row r="80" spans="2:10">
      <c r="B80" s="82" t="s">
        <v>122</v>
      </c>
      <c r="C80" s="764">
        <f>'1.Project Cost and MOF'!D12</f>
        <v>198.19274696165937</v>
      </c>
      <c r="D80" s="764"/>
      <c r="E80" s="764"/>
      <c r="F80" s="764"/>
      <c r="G80" s="764"/>
      <c r="H80" s="764"/>
      <c r="I80" s="764"/>
    </row>
    <row r="81" spans="2:10">
      <c r="B81" s="80"/>
      <c r="C81" s="80"/>
      <c r="D81" s="80"/>
      <c r="E81" s="80"/>
      <c r="F81" s="80"/>
      <c r="G81" s="80"/>
      <c r="H81" s="80"/>
      <c r="I81" s="80"/>
    </row>
    <row r="82" spans="2:10">
      <c r="B82" s="227" t="s">
        <v>123</v>
      </c>
      <c r="C82" s="765">
        <f>C79/C80</f>
        <v>0.20703671530443896</v>
      </c>
      <c r="D82" s="765"/>
      <c r="E82" s="765"/>
      <c r="F82" s="765"/>
      <c r="G82" s="765"/>
      <c r="H82" s="765"/>
      <c r="I82" s="765"/>
    </row>
    <row r="85" spans="2:10">
      <c r="B85" s="763" t="s">
        <v>407</v>
      </c>
      <c r="C85" s="763"/>
      <c r="D85" s="763"/>
      <c r="E85" s="763"/>
      <c r="F85" s="763"/>
      <c r="G85" s="763"/>
      <c r="H85" s="763"/>
      <c r="I85" s="763"/>
    </row>
    <row r="87" spans="2:10" ht="18.75">
      <c r="B87" s="703" t="s">
        <v>510</v>
      </c>
      <c r="C87" s="703"/>
      <c r="D87" s="703"/>
      <c r="E87" s="703"/>
      <c r="F87" s="703"/>
      <c r="G87" s="703"/>
      <c r="H87" s="703"/>
      <c r="I87" s="703"/>
      <c r="J87" s="703"/>
    </row>
    <row r="89" spans="2:10">
      <c r="B89" s="89" t="s">
        <v>0</v>
      </c>
      <c r="C89" s="89" t="s">
        <v>323</v>
      </c>
      <c r="D89" s="89" t="s">
        <v>2</v>
      </c>
      <c r="E89" s="89" t="s">
        <v>3</v>
      </c>
      <c r="F89" s="89" t="s">
        <v>4</v>
      </c>
      <c r="G89" s="89" t="s">
        <v>5</v>
      </c>
      <c r="H89" s="89" t="s">
        <v>6</v>
      </c>
      <c r="I89" s="89" t="s">
        <v>163</v>
      </c>
      <c r="J89" s="89" t="s">
        <v>162</v>
      </c>
    </row>
    <row r="90" spans="2:10">
      <c r="B90" s="90"/>
      <c r="C90" s="90"/>
      <c r="D90" s="91"/>
      <c r="E90" s="91"/>
      <c r="F90" s="91"/>
      <c r="G90" s="91"/>
      <c r="H90" s="91"/>
      <c r="I90" s="91"/>
      <c r="J90" s="91"/>
    </row>
    <row r="91" spans="2:10">
      <c r="B91" s="23" t="s">
        <v>272</v>
      </c>
      <c r="C91" s="526">
        <f>'1.Project Cost and MOF'!D12</f>
        <v>198.19274696165937</v>
      </c>
      <c r="D91" s="527"/>
      <c r="E91" s="527"/>
      <c r="F91" s="527"/>
      <c r="G91" s="527"/>
      <c r="H91" s="527"/>
      <c r="I91" s="527"/>
      <c r="J91" s="527"/>
    </row>
    <row r="92" spans="2:10">
      <c r="B92" s="24" t="str">
        <f>B55</f>
        <v>Profit after Tax &amp; Dividend</v>
      </c>
      <c r="C92" s="528"/>
      <c r="D92" s="529">
        <f>'6.Cons Profit &amp; Loss'!B56</f>
        <v>21.700793959088564</v>
      </c>
      <c r="E92" s="529">
        <f>'6.Cons Profit &amp; Loss'!C56</f>
        <v>28.126696606037015</v>
      </c>
      <c r="F92" s="529">
        <f>'6.Cons Profit &amp; Loss'!D56</f>
        <v>33.494507073536496</v>
      </c>
      <c r="G92" s="529">
        <f>'6.Cons Profit &amp; Loss'!E56</f>
        <v>41.075960363066748</v>
      </c>
      <c r="H92" s="529">
        <f>'6.Cons Profit &amp; Loss'!F56</f>
        <v>48.01179605495836</v>
      </c>
      <c r="I92" s="529">
        <f>'6.Cons Profit &amp; Loss'!G56</f>
        <v>54.780864819536902</v>
      </c>
      <c r="J92" s="529">
        <f>'6.Cons Profit &amp; Loss'!H56</f>
        <v>60.041608420516404</v>
      </c>
    </row>
    <row r="93" spans="2:10">
      <c r="B93" s="24" t="str">
        <f>B57</f>
        <v>Add: Deprication</v>
      </c>
      <c r="C93" s="528"/>
      <c r="D93" s="530">
        <f>'6.Cons Profit &amp; Loss'!B46</f>
        <v>8.3224132540000006</v>
      </c>
      <c r="E93" s="530">
        <f>'6.Cons Profit &amp; Loss'!C46</f>
        <v>8.3224132540000006</v>
      </c>
      <c r="F93" s="530">
        <f>'6.Cons Profit &amp; Loss'!D46</f>
        <v>8.3224132540000006</v>
      </c>
      <c r="G93" s="530">
        <f>'6.Cons Profit &amp; Loss'!E46</f>
        <v>8.3224132540000006</v>
      </c>
      <c r="H93" s="530">
        <f>'6.Cons Profit &amp; Loss'!F46</f>
        <v>8.3224132540000006</v>
      </c>
      <c r="I93" s="530">
        <f>'6.Cons Profit &amp; Loss'!G46</f>
        <v>8.3224132540000006</v>
      </c>
      <c r="J93" s="530">
        <f>'6.Cons Profit &amp; Loss'!H46</f>
        <v>8.3224132540000006</v>
      </c>
    </row>
    <row r="94" spans="2:10">
      <c r="B94" s="24" t="str">
        <f>B58</f>
        <v>Add. Preliminary exp Written off</v>
      </c>
      <c r="C94" s="528"/>
      <c r="D94" s="530">
        <f>'6.Cons Profit &amp; Loss'!B47</f>
        <v>0.93022189999999993</v>
      </c>
      <c r="E94" s="530">
        <f>'6.Cons Profit &amp; Loss'!C47</f>
        <v>0.93022189999999993</v>
      </c>
      <c r="F94" s="530">
        <f>'6.Cons Profit &amp; Loss'!D47</f>
        <v>0.93022189999999993</v>
      </c>
      <c r="G94" s="530">
        <f>'6.Cons Profit &amp; Loss'!E47</f>
        <v>0.93022189999999993</v>
      </c>
      <c r="H94" s="530">
        <f>'6.Cons Profit &amp; Loss'!F47</f>
        <v>0.93022189999999993</v>
      </c>
      <c r="I94" s="530">
        <f>'6.Cons Profit &amp; Loss'!G47</f>
        <v>0.93022189999999993</v>
      </c>
      <c r="J94" s="530">
        <f>'6.Cons Profit &amp; Loss'!H47</f>
        <v>0.93022189999999993</v>
      </c>
    </row>
    <row r="95" spans="2:10">
      <c r="B95" s="24" t="str">
        <f>B60</f>
        <v xml:space="preserve">Net Cash Accrual (A)      </v>
      </c>
      <c r="C95" s="528"/>
      <c r="D95" s="528">
        <f>SUM(D92:D94)</f>
        <v>30.953429113088564</v>
      </c>
      <c r="E95" s="528">
        <f t="shared" ref="E95:J95" si="10">SUM(E92:E94)</f>
        <v>37.379331760037012</v>
      </c>
      <c r="F95" s="528">
        <f t="shared" si="10"/>
        <v>42.747142227536493</v>
      </c>
      <c r="G95" s="528">
        <f t="shared" si="10"/>
        <v>50.328595517066752</v>
      </c>
      <c r="H95" s="528">
        <f t="shared" si="10"/>
        <v>57.264431208958364</v>
      </c>
      <c r="I95" s="528">
        <f t="shared" si="10"/>
        <v>64.033499973536905</v>
      </c>
      <c r="J95" s="528">
        <f t="shared" si="10"/>
        <v>69.294243574516415</v>
      </c>
    </row>
    <row r="96" spans="2:10">
      <c r="B96" s="23" t="s">
        <v>273</v>
      </c>
      <c r="C96" s="531"/>
      <c r="D96" s="532">
        <f>D95-C91</f>
        <v>-167.23931784857081</v>
      </c>
      <c r="E96" s="532">
        <f>D96+E95</f>
        <v>-129.85998608853379</v>
      </c>
      <c r="F96" s="532">
        <f>E96+F95</f>
        <v>-87.112843860997287</v>
      </c>
      <c r="G96" s="532">
        <f>F96+G95</f>
        <v>-36.784248343930535</v>
      </c>
      <c r="H96" s="532">
        <f>G96+H95</f>
        <v>20.480182865027828</v>
      </c>
      <c r="I96" s="533"/>
      <c r="J96" s="533"/>
    </row>
    <row r="97" spans="2:10">
      <c r="B97" s="7"/>
      <c r="C97" s="7"/>
      <c r="D97" s="7"/>
      <c r="E97" s="7"/>
      <c r="F97" s="7"/>
      <c r="G97" s="7"/>
      <c r="H97" s="7"/>
      <c r="I97" s="7"/>
      <c r="J97" s="7"/>
    </row>
    <row r="98" spans="2:10">
      <c r="B98" s="25" t="s">
        <v>274</v>
      </c>
      <c r="C98" s="7"/>
      <c r="D98" s="53">
        <f>4+(-G96/H95)</f>
        <v>4.6423577003621066</v>
      </c>
      <c r="E98" s="7"/>
      <c r="F98" s="7"/>
      <c r="G98" s="7"/>
      <c r="H98" s="7"/>
      <c r="I98" s="7"/>
      <c r="J98" s="7"/>
    </row>
    <row r="99" spans="2:10">
      <c r="B99" s="7"/>
      <c r="C99" s="7"/>
      <c r="D99" s="7"/>
      <c r="E99" s="7"/>
      <c r="F99" s="7"/>
      <c r="G99" s="7"/>
      <c r="H99" s="7"/>
      <c r="I99" s="7"/>
      <c r="J99" s="7"/>
    </row>
    <row r="100" spans="2:10">
      <c r="B100" s="763" t="s">
        <v>408</v>
      </c>
      <c r="C100" s="763"/>
      <c r="D100" s="763"/>
      <c r="E100" s="763"/>
      <c r="F100" s="763"/>
      <c r="G100" s="763"/>
      <c r="H100" s="763"/>
      <c r="I100" s="763"/>
      <c r="J100" s="763"/>
    </row>
    <row r="102" spans="2:10" ht="18.75">
      <c r="B102" s="703" t="s">
        <v>511</v>
      </c>
      <c r="C102" s="703"/>
      <c r="D102" s="703"/>
      <c r="E102" s="703"/>
      <c r="F102" s="703"/>
      <c r="G102" s="703"/>
      <c r="H102" s="703"/>
      <c r="I102" s="703"/>
    </row>
    <row r="104" spans="2:10" ht="15.75">
      <c r="B104" s="60" t="s">
        <v>0</v>
      </c>
      <c r="C104" s="60" t="s">
        <v>2</v>
      </c>
      <c r="D104" s="60" t="s">
        <v>3</v>
      </c>
      <c r="E104" s="60" t="s">
        <v>4</v>
      </c>
      <c r="F104" s="60" t="s">
        <v>5</v>
      </c>
      <c r="G104" s="60" t="s">
        <v>6</v>
      </c>
      <c r="H104" s="60" t="s">
        <v>163</v>
      </c>
      <c r="I104" s="60" t="s">
        <v>162</v>
      </c>
    </row>
    <row r="105" spans="2:10" ht="15.75">
      <c r="B105" s="58"/>
      <c r="C105" s="59"/>
      <c r="D105" s="59"/>
      <c r="E105" s="59"/>
      <c r="F105" s="59"/>
      <c r="G105" s="59"/>
      <c r="H105" s="59"/>
      <c r="I105" s="59"/>
    </row>
    <row r="106" spans="2:10">
      <c r="B106" s="80" t="s">
        <v>326</v>
      </c>
      <c r="C106" s="81">
        <f>+'6.Cons Profit &amp; Loss'!B58</f>
        <v>14.105516073407568</v>
      </c>
      <c r="D106" s="81">
        <f>+'6.Cons Profit &amp; Loss'!C58</f>
        <v>18.282352793924062</v>
      </c>
      <c r="E106" s="81">
        <f>+'6.Cons Profit &amp; Loss'!D58</f>
        <v>21.771429597798722</v>
      </c>
      <c r="F106" s="81">
        <f>+'6.Cons Profit &amp; Loss'!E58</f>
        <v>26.699374235993389</v>
      </c>
      <c r="G106" s="81">
        <f>+'6.Cons Profit &amp; Loss'!F58</f>
        <v>31.207667435722936</v>
      </c>
      <c r="H106" s="81">
        <f>+'6.Cons Profit &amp; Loss'!G58</f>
        <v>35.607562132698988</v>
      </c>
      <c r="I106" s="81">
        <f>+'6.Cons Profit &amp; Loss'!H58</f>
        <v>39.027045473335662</v>
      </c>
    </row>
    <row r="107" spans="2:10">
      <c r="B107" s="80" t="s">
        <v>336</v>
      </c>
      <c r="C107" s="81">
        <f>'6.Cons Profit &amp; Loss'!B46</f>
        <v>8.3224132540000006</v>
      </c>
      <c r="D107" s="81">
        <f>'6.Cons Profit &amp; Loss'!C46</f>
        <v>8.3224132540000006</v>
      </c>
      <c r="E107" s="81">
        <f>'6.Cons Profit &amp; Loss'!D46</f>
        <v>8.3224132540000006</v>
      </c>
      <c r="F107" s="81">
        <f>'6.Cons Profit &amp; Loss'!E46</f>
        <v>8.3224132540000006</v>
      </c>
      <c r="G107" s="81">
        <f>'6.Cons Profit &amp; Loss'!F46</f>
        <v>8.3224132540000006</v>
      </c>
      <c r="H107" s="81">
        <f>'6.Cons Profit &amp; Loss'!G46</f>
        <v>8.3224132540000006</v>
      </c>
      <c r="I107" s="81">
        <f>'6.Cons Profit &amp; Loss'!H46</f>
        <v>8.3224132540000006</v>
      </c>
    </row>
    <row r="108" spans="2:10">
      <c r="B108" s="80" t="s">
        <v>337</v>
      </c>
      <c r="C108" s="81">
        <f>'6.Cons Profit &amp; Loss'!B47</f>
        <v>0.93022189999999993</v>
      </c>
      <c r="D108" s="81">
        <f>'6.Cons Profit &amp; Loss'!C47</f>
        <v>0.93022189999999993</v>
      </c>
      <c r="E108" s="81">
        <f>'6.Cons Profit &amp; Loss'!D47</f>
        <v>0.93022189999999993</v>
      </c>
      <c r="F108" s="81">
        <f>'6.Cons Profit &amp; Loss'!E47</f>
        <v>0.93022189999999993</v>
      </c>
      <c r="G108" s="81">
        <f>'6.Cons Profit &amp; Loss'!F47</f>
        <v>0.93022189999999993</v>
      </c>
      <c r="H108" s="81">
        <f>'6.Cons Profit &amp; Loss'!G47</f>
        <v>0.93022189999999993</v>
      </c>
      <c r="I108" s="81">
        <f>'6.Cons Profit &amp; Loss'!H47</f>
        <v>0.93022189999999993</v>
      </c>
    </row>
    <row r="109" spans="2:10">
      <c r="B109" s="80" t="s">
        <v>338</v>
      </c>
      <c r="C109" s="81">
        <f>'8.Cash Flow '!C28</f>
        <v>3.4492495085300381</v>
      </c>
      <c r="D109" s="81">
        <f>'8.Cash Flow '!D28</f>
        <v>2.8789037127944104</v>
      </c>
      <c r="E109" s="81">
        <f>'8.Cash Flow '!E28</f>
        <v>2.1554916859662474</v>
      </c>
      <c r="F109" s="81">
        <f>'8.Cash Flow '!F28</f>
        <v>1.3642186211634557</v>
      </c>
      <c r="G109" s="81">
        <f>'8.Cash Flow '!G28</f>
        <v>0.49871868494090371</v>
      </c>
      <c r="H109" s="81">
        <f>'8.Cash Flow '!H28</f>
        <v>0</v>
      </c>
      <c r="I109" s="81">
        <f>'8.Cash Flow '!I28</f>
        <v>0</v>
      </c>
    </row>
    <row r="110" spans="2:10">
      <c r="B110" s="82" t="s">
        <v>1</v>
      </c>
      <c r="C110" s="83">
        <f>SUM(C106:C109)</f>
        <v>26.807400735937605</v>
      </c>
      <c r="D110" s="83">
        <f t="shared" ref="D110:I110" si="11">SUM(D106:D109)</f>
        <v>30.413891660718473</v>
      </c>
      <c r="E110" s="83">
        <f t="shared" si="11"/>
        <v>33.179556437764973</v>
      </c>
      <c r="F110" s="83">
        <f t="shared" si="11"/>
        <v>37.316228011156838</v>
      </c>
      <c r="G110" s="83">
        <f t="shared" si="11"/>
        <v>40.95902127466384</v>
      </c>
      <c r="H110" s="83">
        <f t="shared" si="11"/>
        <v>44.860197286698984</v>
      </c>
      <c r="I110" s="83">
        <f t="shared" si="11"/>
        <v>48.279680627335658</v>
      </c>
    </row>
    <row r="111" spans="2:10">
      <c r="B111" s="80"/>
      <c r="C111" s="80"/>
      <c r="D111" s="80"/>
      <c r="E111" s="80"/>
      <c r="F111" s="80"/>
      <c r="G111" s="80"/>
      <c r="H111" s="80"/>
      <c r="I111" s="80"/>
    </row>
    <row r="112" spans="2:10">
      <c r="B112" s="84" t="s">
        <v>275</v>
      </c>
      <c r="C112" s="85">
        <f>'8.Cash Flow '!C27+'8.Cash Flow '!C28</f>
        <v>7.0534285712661173</v>
      </c>
      <c r="D112" s="85">
        <f>'8.Cash Flow '!D27+'8.Cash Flow '!D28</f>
        <v>10.590618360532236</v>
      </c>
      <c r="E112" s="85">
        <f>'8.Cash Flow '!E27+'8.Cash Flow '!E28</f>
        <v>10.590618360532234</v>
      </c>
      <c r="F112" s="85">
        <f>'8.Cash Flow '!F27+'8.Cash Flow '!F28</f>
        <v>10.590618360532236</v>
      </c>
      <c r="G112" s="85">
        <f>'8.Cash Flow '!G27+'8.Cash Flow '!G28</f>
        <v>10.590618360532236</v>
      </c>
      <c r="H112" s="85">
        <f>'8.Cash Flow '!H27+'8.Cash Flow '!H28</f>
        <v>0</v>
      </c>
      <c r="I112" s="85">
        <f>'8.Cash Flow '!I27+'8.Cash Flow '!I28</f>
        <v>0</v>
      </c>
    </row>
    <row r="113" spans="2:18">
      <c r="B113" s="80"/>
      <c r="C113" s="80"/>
      <c r="D113" s="80"/>
      <c r="E113" s="80"/>
      <c r="F113" s="80"/>
      <c r="G113" s="80"/>
      <c r="H113" s="80"/>
      <c r="I113" s="80"/>
    </row>
    <row r="114" spans="2:18">
      <c r="B114" s="86" t="s">
        <v>324</v>
      </c>
      <c r="C114" s="87">
        <f>C110/C112</f>
        <v>3.8006198638126385</v>
      </c>
      <c r="D114" s="87">
        <f t="shared" ref="D114:G114" si="12">D110/D112</f>
        <v>2.8717767580088696</v>
      </c>
      <c r="E114" s="87">
        <f t="shared" si="12"/>
        <v>3.1329196566476525</v>
      </c>
      <c r="F114" s="87">
        <f t="shared" si="12"/>
        <v>3.5235173944348888</v>
      </c>
      <c r="G114" s="87">
        <f t="shared" si="12"/>
        <v>3.8674815653167798</v>
      </c>
      <c r="H114" s="87">
        <v>0</v>
      </c>
      <c r="I114" s="87">
        <v>0</v>
      </c>
      <c r="J114" s="639">
        <v>0</v>
      </c>
    </row>
    <row r="115" spans="2:18">
      <c r="B115" s="79"/>
      <c r="C115" s="79"/>
      <c r="D115" s="79"/>
      <c r="E115" s="79"/>
      <c r="F115" s="79"/>
      <c r="G115" s="79"/>
      <c r="H115" s="79"/>
      <c r="I115" s="79"/>
    </row>
    <row r="116" spans="2:18">
      <c r="B116" s="79" t="s">
        <v>325</v>
      </c>
      <c r="C116" s="88">
        <f>AVERAGE(C114:I114)</f>
        <v>2.4566164626029754</v>
      </c>
      <c r="D116" s="79"/>
      <c r="E116" s="79"/>
      <c r="F116" s="79"/>
      <c r="G116" s="79"/>
      <c r="H116" s="79"/>
      <c r="I116" s="79"/>
    </row>
    <row r="118" spans="2:18" ht="29.45" customHeight="1">
      <c r="B118" s="711" t="s">
        <v>409</v>
      </c>
      <c r="C118" s="711"/>
      <c r="D118" s="711"/>
      <c r="E118" s="711"/>
      <c r="F118" s="711"/>
      <c r="G118" s="711"/>
      <c r="H118" s="711"/>
      <c r="I118" s="711"/>
      <c r="J118" s="711"/>
    </row>
    <row r="120" spans="2:18" ht="21">
      <c r="B120" s="758" t="s">
        <v>512</v>
      </c>
      <c r="C120" s="759"/>
      <c r="D120" s="759"/>
      <c r="E120" s="759"/>
      <c r="F120" s="759"/>
      <c r="G120" s="759"/>
      <c r="H120" s="759"/>
      <c r="I120" s="759"/>
      <c r="K120" s="760"/>
      <c r="L120" s="760"/>
      <c r="M120" s="760"/>
      <c r="N120" s="760"/>
      <c r="O120" s="760"/>
      <c r="P120" s="760"/>
      <c r="Q120" s="760"/>
      <c r="R120" s="760"/>
    </row>
    <row r="121" spans="2:18">
      <c r="B121" s="69" t="s">
        <v>339</v>
      </c>
      <c r="C121" s="70" t="s">
        <v>2</v>
      </c>
      <c r="D121" s="70" t="s">
        <v>3</v>
      </c>
      <c r="E121" s="70" t="s">
        <v>4</v>
      </c>
      <c r="F121" s="70" t="s">
        <v>5</v>
      </c>
      <c r="G121" s="70" t="s">
        <v>6</v>
      </c>
      <c r="H121" s="70" t="s">
        <v>163</v>
      </c>
      <c r="I121" s="70" t="s">
        <v>162</v>
      </c>
    </row>
    <row r="122" spans="2:18">
      <c r="B122" s="61" t="str">
        <f>'6.Cons Profit &amp; Loss'!A8</f>
        <v>Faclitiy 1 - Cleaning &amp; Grading</v>
      </c>
      <c r="C122" s="286">
        <f>'6.Cons Profit &amp; Loss'!B8*(1+$M$123)</f>
        <v>0</v>
      </c>
      <c r="D122" s="286">
        <f>'6.Cons Profit &amp; Loss'!C8*(1+$M$123)</f>
        <v>0</v>
      </c>
      <c r="E122" s="286">
        <f>'6.Cons Profit &amp; Loss'!D8*(1+$M$123)</f>
        <v>0</v>
      </c>
      <c r="F122" s="286">
        <f>'6.Cons Profit &amp; Loss'!E8*(1+$M$123)</f>
        <v>0</v>
      </c>
      <c r="G122" s="286">
        <f>'6.Cons Profit &amp; Loss'!F8*(1+$M$123)</f>
        <v>0</v>
      </c>
      <c r="H122" s="286">
        <f>'6.Cons Profit &amp; Loss'!G8*(1+$M$123)</f>
        <v>0</v>
      </c>
      <c r="I122" s="286">
        <f>'6.Cons Profit &amp; Loss'!H8*(1+$M$123)</f>
        <v>0</v>
      </c>
    </row>
    <row r="123" spans="2:18">
      <c r="B123" s="61" t="str">
        <f>'6.Cons Profit &amp; Loss'!A9</f>
        <v>Faclitiy 2 - Processing Unit- Dal Mill</v>
      </c>
      <c r="C123" s="286">
        <f>'6.Cons Profit &amp; Loss'!B9*(1+$M$123)</f>
        <v>0</v>
      </c>
      <c r="D123" s="286">
        <f>'6.Cons Profit &amp; Loss'!C9*(1+$M$123)</f>
        <v>0</v>
      </c>
      <c r="E123" s="286">
        <f>'6.Cons Profit &amp; Loss'!D9*(1+$M$123)</f>
        <v>0</v>
      </c>
      <c r="F123" s="286">
        <f>'6.Cons Profit &amp; Loss'!E9*(1+$M$123)</f>
        <v>0</v>
      </c>
      <c r="G123" s="286">
        <f>'6.Cons Profit &amp; Loss'!F9*(1+$M$123)</f>
        <v>0</v>
      </c>
      <c r="H123" s="286">
        <f>'6.Cons Profit &amp; Loss'!G9*(1+$M$123)</f>
        <v>0</v>
      </c>
      <c r="I123" s="286">
        <f>'6.Cons Profit &amp; Loss'!H9*(1+$M$123)</f>
        <v>0</v>
      </c>
      <c r="L123" s="5" t="s">
        <v>358</v>
      </c>
      <c r="M123" s="235">
        <v>0.05</v>
      </c>
    </row>
    <row r="124" spans="2:18">
      <c r="B124" s="61" t="str">
        <f>'6.Cons Profit &amp; Loss'!A10</f>
        <v>Faclitiy 3 - Warehouse</v>
      </c>
      <c r="C124" s="286">
        <f>'6.Cons Profit &amp; Loss'!B10*(1+$M$123)</f>
        <v>0</v>
      </c>
      <c r="D124" s="286">
        <f>'6.Cons Profit &amp; Loss'!C10*(1+$M$123)</f>
        <v>0</v>
      </c>
      <c r="E124" s="286">
        <f>'6.Cons Profit &amp; Loss'!D10*(1+$M$123)</f>
        <v>0</v>
      </c>
      <c r="F124" s="286">
        <f>'6.Cons Profit &amp; Loss'!E10*(1+$M$123)</f>
        <v>0</v>
      </c>
      <c r="G124" s="286">
        <f>'6.Cons Profit &amp; Loss'!F10*(1+$M$123)</f>
        <v>0</v>
      </c>
      <c r="H124" s="286">
        <f>'6.Cons Profit &amp; Loss'!G10*(1+$M$123)</f>
        <v>0</v>
      </c>
      <c r="I124" s="286">
        <f>'6.Cons Profit &amp; Loss'!H10*(1+$M$123)</f>
        <v>0</v>
      </c>
      <c r="L124" s="5" t="s">
        <v>359</v>
      </c>
      <c r="M124" s="235">
        <v>0.05</v>
      </c>
    </row>
    <row r="125" spans="2:18">
      <c r="B125" s="61" t="str">
        <f>'6.Cons Profit &amp; Loss'!A11</f>
        <v xml:space="preserve">Faclitiy 4 - Custom Hiring </v>
      </c>
      <c r="C125" s="286">
        <f>'6.Cons Profit &amp; Loss'!B11*(1+$M$123)</f>
        <v>0</v>
      </c>
      <c r="D125" s="286">
        <f>'6.Cons Profit &amp; Loss'!C11*(1+$M$123)</f>
        <v>0</v>
      </c>
      <c r="E125" s="286">
        <f>'6.Cons Profit &amp; Loss'!D11*(1+$M$123)</f>
        <v>0</v>
      </c>
      <c r="F125" s="286">
        <f>'6.Cons Profit &amp; Loss'!E11*(1+$M$123)</f>
        <v>0</v>
      </c>
      <c r="G125" s="286">
        <f>'6.Cons Profit &amp; Loss'!F11*(1+$M$123)</f>
        <v>0</v>
      </c>
      <c r="H125" s="286">
        <f>'6.Cons Profit &amp; Loss'!G11*(1+$M$123)</f>
        <v>0</v>
      </c>
      <c r="I125" s="286">
        <f>'6.Cons Profit &amp; Loss'!H11*(1+$M$123)</f>
        <v>0</v>
      </c>
    </row>
    <row r="126" spans="2:18">
      <c r="B126" s="61" t="str">
        <f>'6.Cons Profit &amp; Loss'!A12</f>
        <v>Faclitiy 5 - Agri Input Centre</v>
      </c>
      <c r="C126" s="286">
        <f>'6.Cons Profit &amp; Loss'!B12*(1+$M$123)</f>
        <v>0</v>
      </c>
      <c r="D126" s="286">
        <f>'6.Cons Profit &amp; Loss'!C12*(1+$M$123)</f>
        <v>0</v>
      </c>
      <c r="E126" s="286">
        <f>'6.Cons Profit &amp; Loss'!D12*(1+$M$123)</f>
        <v>0</v>
      </c>
      <c r="F126" s="286">
        <f>'6.Cons Profit &amp; Loss'!E12*(1+$M$123)</f>
        <v>0</v>
      </c>
      <c r="G126" s="286">
        <f>'6.Cons Profit &amp; Loss'!F12*(1+$M$123)</f>
        <v>0</v>
      </c>
      <c r="H126" s="286">
        <f>'6.Cons Profit &amp; Loss'!G12*(1+$M$123)</f>
        <v>0</v>
      </c>
      <c r="I126" s="286">
        <f>'6.Cons Profit &amp; Loss'!H12*(1+$M$123)</f>
        <v>0</v>
      </c>
    </row>
    <row r="127" spans="2:18">
      <c r="B127" s="61" t="str">
        <f>'6.Cons Profit &amp; Loss'!A13</f>
        <v>Facility 6 - Processing Unit - Oil Mill, Cleaning Grading &amp; Cattel Feed</v>
      </c>
      <c r="C127" s="286">
        <f>+SUM('6.Cons Profit &amp; Loss'!B13:B15)*(1+$M$123)</f>
        <v>222.93418</v>
      </c>
      <c r="D127" s="286">
        <f>+SUM('6.Cons Profit &amp; Loss'!C13:C15)*(1+$M$123)</f>
        <v>266.66310300000009</v>
      </c>
      <c r="E127" s="286">
        <f>+SUM('6.Cons Profit &amp; Loss'!D13:D15)*(1+$M$123)</f>
        <v>303.42962160000008</v>
      </c>
      <c r="F127" s="286">
        <f>+SUM('6.Cons Profit &amp; Loss'!E13:E15)*(1+$M$123)</f>
        <v>345.96522849000007</v>
      </c>
      <c r="G127" s="286">
        <f>+SUM('6.Cons Profit &amp; Loss'!F13:F15)*(1+$M$123)</f>
        <v>387.96684115875007</v>
      </c>
      <c r="H127" s="286">
        <f>+SUM('6.Cons Profit &amp; Loss'!G13:G15)*(1+$M$123)</f>
        <v>432.47872483908753</v>
      </c>
      <c r="I127" s="286">
        <f>+SUM('6.Cons Profit &amp; Loss'!H13:H15)*(1+$M$123)</f>
        <v>479.13146919217132</v>
      </c>
    </row>
    <row r="128" spans="2:18">
      <c r="B128" s="61" t="s">
        <v>799</v>
      </c>
      <c r="C128" s="286">
        <f>+'6.Cons Profit &amp; Loss'!B18-'6.Cons Profit &amp; Loss'!B17</f>
        <v>7.629999999999999</v>
      </c>
      <c r="D128" s="286">
        <f>+'6.Cons Profit &amp; Loss'!C18-'6.Cons Profit &amp; Loss'!C17</f>
        <v>1.2950000000000017</v>
      </c>
      <c r="E128" s="286">
        <f>+'6.Cons Profit &amp; Loss'!D18-'6.Cons Profit &amp; Loss'!D17</f>
        <v>1.0857250000000001</v>
      </c>
      <c r="F128" s="286">
        <f>+'6.Cons Profit &amp; Loss'!E18-'6.Cons Profit &amp; Loss'!E17</f>
        <v>1.35715875</v>
      </c>
      <c r="G128" s="286">
        <f>+'6.Cons Profit &amp; Loss'!F18-'6.Cons Profit &amp; Loss'!F17</f>
        <v>1.2733478125000008</v>
      </c>
      <c r="H128" s="286">
        <f>+'6.Cons Profit &amp; Loss'!G18-'6.Cons Profit &amp; Loss'!G17</f>
        <v>1.5764649343750019</v>
      </c>
      <c r="I128" s="286">
        <f>+'6.Cons Profit &amp; Loss'!H18-'6.Cons Profit &amp; Loss'!H17</f>
        <v>3.2970952964062477</v>
      </c>
    </row>
    <row r="129" spans="2:9">
      <c r="B129" s="61" t="s">
        <v>340</v>
      </c>
      <c r="C129" s="286">
        <f t="shared" ref="C129:I129" si="13">SUM(C122:C128)</f>
        <v>230.56417999999999</v>
      </c>
      <c r="D129" s="286">
        <f t="shared" si="13"/>
        <v>267.95810300000011</v>
      </c>
      <c r="E129" s="286">
        <f t="shared" si="13"/>
        <v>304.5153466000001</v>
      </c>
      <c r="F129" s="286">
        <f t="shared" si="13"/>
        <v>347.32238724000007</v>
      </c>
      <c r="G129" s="286">
        <f t="shared" si="13"/>
        <v>389.24018897125006</v>
      </c>
      <c r="H129" s="286">
        <f t="shared" si="13"/>
        <v>434.05518977346253</v>
      </c>
      <c r="I129" s="286">
        <f t="shared" si="13"/>
        <v>482.42856448857759</v>
      </c>
    </row>
    <row r="130" spans="2:9">
      <c r="B130" s="61" t="s">
        <v>341</v>
      </c>
      <c r="C130" s="286"/>
      <c r="D130" s="286"/>
      <c r="E130" s="286"/>
      <c r="F130" s="286"/>
      <c r="G130" s="286"/>
      <c r="H130" s="286"/>
      <c r="I130" s="286"/>
    </row>
    <row r="131" spans="2:9">
      <c r="B131" s="61" t="s">
        <v>342</v>
      </c>
      <c r="C131" s="286">
        <f>'6.Cons Profit &amp; Loss'!B40</f>
        <v>17.874665700000001</v>
      </c>
      <c r="D131" s="286">
        <f>'6.Cons Profit &amp; Loss'!C40</f>
        <v>18.766898985000001</v>
      </c>
      <c r="E131" s="286">
        <f>'6.Cons Profit &amp; Loss'!D40</f>
        <v>19.703743934249999</v>
      </c>
      <c r="F131" s="286">
        <f>'6.Cons Profit &amp; Loss'!E40</f>
        <v>20.687431130962505</v>
      </c>
      <c r="G131" s="286">
        <f>'6.Cons Profit &amp; Loss'!F40</f>
        <v>21.720302687510632</v>
      </c>
      <c r="H131" s="286">
        <f>'6.Cons Profit &amp; Loss'!G40</f>
        <v>22.804817821886164</v>
      </c>
      <c r="I131" s="286">
        <f>'6.Cons Profit &amp; Loss'!H40</f>
        <v>23.943558712980469</v>
      </c>
    </row>
    <row r="132" spans="2:9">
      <c r="B132" s="61" t="s">
        <v>301</v>
      </c>
      <c r="C132" s="286">
        <f>'6.Cons Profit &amp; Loss'!B29*(1+M123)</f>
        <v>172.45042374736843</v>
      </c>
      <c r="D132" s="286">
        <f>'6.Cons Profit &amp; Loss'!C29*(1+N123)</f>
        <v>189.36679445614041</v>
      </c>
      <c r="E132" s="286">
        <f>'6.Cons Profit &amp; Loss'!D29*(1+O123)</f>
        <v>215.72325054385965</v>
      </c>
      <c r="F132" s="286">
        <f>'6.Cons Profit &amp; Loss'!E29*(1+P123)</f>
        <v>245.16445170614037</v>
      </c>
      <c r="G132" s="286">
        <f>'6.Cons Profit &amp; Loss'!F29*(1+Q123)</f>
        <v>274.74552645723696</v>
      </c>
      <c r="H132" s="286">
        <f>'6.Cons Profit &amp; Loss'!G29*(1+R123)</f>
        <v>306.9760976433443</v>
      </c>
      <c r="I132" s="286">
        <f>'6.Cons Profit &amp; Loss'!H29*(1+S123)</f>
        <v>344.12118977967168</v>
      </c>
    </row>
    <row r="133" spans="2:9">
      <c r="B133" s="61" t="s">
        <v>343</v>
      </c>
      <c r="C133" s="286">
        <f t="shared" ref="C133:I133" si="14">SUM(C131:C132)</f>
        <v>190.32508944736844</v>
      </c>
      <c r="D133" s="286">
        <f t="shared" si="14"/>
        <v>208.13369344114042</v>
      </c>
      <c r="E133" s="286">
        <f t="shared" si="14"/>
        <v>235.42699447810963</v>
      </c>
      <c r="F133" s="286">
        <f t="shared" si="14"/>
        <v>265.85188283710289</v>
      </c>
      <c r="G133" s="286">
        <f t="shared" si="14"/>
        <v>296.4658291447476</v>
      </c>
      <c r="H133" s="286">
        <f t="shared" si="14"/>
        <v>329.78091546523046</v>
      </c>
      <c r="I133" s="286">
        <f t="shared" si="14"/>
        <v>368.06474849265214</v>
      </c>
    </row>
    <row r="134" spans="2:9">
      <c r="B134" s="64" t="s">
        <v>344</v>
      </c>
      <c r="C134" s="287">
        <f t="shared" ref="C134:I134" si="15">+C129-C133</f>
        <v>40.239090552631552</v>
      </c>
      <c r="D134" s="287">
        <f t="shared" si="15"/>
        <v>59.824409558859685</v>
      </c>
      <c r="E134" s="287">
        <f t="shared" si="15"/>
        <v>69.088352121890466</v>
      </c>
      <c r="F134" s="287">
        <f t="shared" si="15"/>
        <v>81.470504402897177</v>
      </c>
      <c r="G134" s="287">
        <f t="shared" si="15"/>
        <v>92.774359826502462</v>
      </c>
      <c r="H134" s="287">
        <f t="shared" si="15"/>
        <v>104.27427430823207</v>
      </c>
      <c r="I134" s="287">
        <f t="shared" si="15"/>
        <v>114.36381599592545</v>
      </c>
    </row>
    <row r="135" spans="2:9">
      <c r="B135" s="66"/>
      <c r="C135" s="67"/>
      <c r="D135" s="67"/>
      <c r="E135" s="67"/>
      <c r="F135" s="67"/>
      <c r="G135" s="67"/>
      <c r="H135" s="67"/>
      <c r="I135" s="67"/>
    </row>
    <row r="136" spans="2:9">
      <c r="B136" s="69" t="s">
        <v>345</v>
      </c>
      <c r="C136" s="70" t="s">
        <v>2</v>
      </c>
      <c r="D136" s="70" t="s">
        <v>3</v>
      </c>
      <c r="E136" s="70" t="s">
        <v>4</v>
      </c>
      <c r="F136" s="70" t="s">
        <v>5</v>
      </c>
      <c r="G136" s="70" t="s">
        <v>6</v>
      </c>
      <c r="H136" s="70" t="s">
        <v>163</v>
      </c>
      <c r="I136" s="70" t="s">
        <v>162</v>
      </c>
    </row>
    <row r="137" spans="2:9">
      <c r="B137" s="61" t="str">
        <f t="shared" ref="B137:B142" si="16">B122</f>
        <v>Faclitiy 1 - Cleaning &amp; Grading</v>
      </c>
      <c r="C137" s="63">
        <f>'6.Cons Profit &amp; Loss'!B8</f>
        <v>0</v>
      </c>
      <c r="D137" s="63">
        <f>'6.Cons Profit &amp; Loss'!C8</f>
        <v>0</v>
      </c>
      <c r="E137" s="63">
        <f>'6.Cons Profit &amp; Loss'!D8</f>
        <v>0</v>
      </c>
      <c r="F137" s="63">
        <f>'6.Cons Profit &amp; Loss'!E8</f>
        <v>0</v>
      </c>
      <c r="G137" s="63">
        <f>'6.Cons Profit &amp; Loss'!F8</f>
        <v>0</v>
      </c>
      <c r="H137" s="63">
        <f>'6.Cons Profit &amp; Loss'!G8</f>
        <v>0</v>
      </c>
      <c r="I137" s="63">
        <f>'6.Cons Profit &amp; Loss'!H8</f>
        <v>0</v>
      </c>
    </row>
    <row r="138" spans="2:9">
      <c r="B138" s="61" t="str">
        <f t="shared" si="16"/>
        <v>Faclitiy 2 - Processing Unit- Dal Mill</v>
      </c>
      <c r="C138" s="63">
        <f>'6.Cons Profit &amp; Loss'!B9</f>
        <v>0</v>
      </c>
      <c r="D138" s="63">
        <f>'6.Cons Profit &amp; Loss'!C9</f>
        <v>0</v>
      </c>
      <c r="E138" s="63">
        <f>'6.Cons Profit &amp; Loss'!D9</f>
        <v>0</v>
      </c>
      <c r="F138" s="63">
        <f>'6.Cons Profit &amp; Loss'!E9</f>
        <v>0</v>
      </c>
      <c r="G138" s="63">
        <f>'6.Cons Profit &amp; Loss'!F9</f>
        <v>0</v>
      </c>
      <c r="H138" s="63">
        <f>'6.Cons Profit &amp; Loss'!G9</f>
        <v>0</v>
      </c>
      <c r="I138" s="63">
        <f>'6.Cons Profit &amp; Loss'!H9</f>
        <v>0</v>
      </c>
    </row>
    <row r="139" spans="2:9">
      <c r="B139" s="61" t="str">
        <f t="shared" si="16"/>
        <v>Faclitiy 3 - Warehouse</v>
      </c>
      <c r="C139" s="63">
        <f>'6.Cons Profit &amp; Loss'!B10</f>
        <v>0</v>
      </c>
      <c r="D139" s="63">
        <f>'6.Cons Profit &amp; Loss'!C10</f>
        <v>0</v>
      </c>
      <c r="E139" s="63">
        <f>'6.Cons Profit &amp; Loss'!D10</f>
        <v>0</v>
      </c>
      <c r="F139" s="63">
        <f>'6.Cons Profit &amp; Loss'!E10</f>
        <v>0</v>
      </c>
      <c r="G139" s="63">
        <f>'6.Cons Profit &amp; Loss'!F10</f>
        <v>0</v>
      </c>
      <c r="H139" s="63">
        <f>'6.Cons Profit &amp; Loss'!G10</f>
        <v>0</v>
      </c>
      <c r="I139" s="63">
        <f>'6.Cons Profit &amp; Loss'!H10</f>
        <v>0</v>
      </c>
    </row>
    <row r="140" spans="2:9">
      <c r="B140" s="61" t="str">
        <f t="shared" si="16"/>
        <v xml:space="preserve">Faclitiy 4 - Custom Hiring </v>
      </c>
      <c r="C140" s="63">
        <f>'6.Cons Profit &amp; Loss'!B11</f>
        <v>0</v>
      </c>
      <c r="D140" s="63">
        <f>'6.Cons Profit &amp; Loss'!C11</f>
        <v>0</v>
      </c>
      <c r="E140" s="63">
        <f>'6.Cons Profit &amp; Loss'!D11</f>
        <v>0</v>
      </c>
      <c r="F140" s="63">
        <f>'6.Cons Profit &amp; Loss'!E11</f>
        <v>0</v>
      </c>
      <c r="G140" s="63">
        <f>'6.Cons Profit &amp; Loss'!F11</f>
        <v>0</v>
      </c>
      <c r="H140" s="63">
        <f>'6.Cons Profit &amp; Loss'!G11</f>
        <v>0</v>
      </c>
      <c r="I140" s="63">
        <f>'6.Cons Profit &amp; Loss'!H11</f>
        <v>0</v>
      </c>
    </row>
    <row r="141" spans="2:9">
      <c r="B141" s="61" t="str">
        <f t="shared" si="16"/>
        <v>Faclitiy 5 - Agri Input Centre</v>
      </c>
      <c r="C141" s="63">
        <f>'6.Cons Profit &amp; Loss'!B12</f>
        <v>0</v>
      </c>
      <c r="D141" s="63">
        <f>'6.Cons Profit &amp; Loss'!C12</f>
        <v>0</v>
      </c>
      <c r="E141" s="63">
        <f>'6.Cons Profit &amp; Loss'!D12</f>
        <v>0</v>
      </c>
      <c r="F141" s="63">
        <f>'6.Cons Profit &amp; Loss'!E12</f>
        <v>0</v>
      </c>
      <c r="G141" s="63">
        <f>'6.Cons Profit &amp; Loss'!F12</f>
        <v>0</v>
      </c>
      <c r="H141" s="63">
        <f>'6.Cons Profit &amp; Loss'!G12</f>
        <v>0</v>
      </c>
      <c r="I141" s="63">
        <f>'6.Cons Profit &amp; Loss'!H12</f>
        <v>0</v>
      </c>
    </row>
    <row r="142" spans="2:9">
      <c r="B142" s="61" t="str">
        <f t="shared" si="16"/>
        <v>Facility 6 - Processing Unit - Oil Mill, Cleaning Grading &amp; Cattel Feed</v>
      </c>
      <c r="C142" s="63">
        <f>+SUM('6.Cons Profit &amp; Loss'!B13:B15)</f>
        <v>212.31826666666666</v>
      </c>
      <c r="D142" s="63">
        <f>+SUM('6.Cons Profit &amp; Loss'!C13:C15)</f>
        <v>253.96486000000007</v>
      </c>
      <c r="E142" s="63">
        <f>+SUM('6.Cons Profit &amp; Loss'!D13:D15)</f>
        <v>288.98059200000006</v>
      </c>
      <c r="F142" s="63">
        <f>+SUM('6.Cons Profit &amp; Loss'!E13:E15)</f>
        <v>329.49069380000003</v>
      </c>
      <c r="G142" s="63">
        <f>+SUM('6.Cons Profit &amp; Loss'!F13:F15)</f>
        <v>369.49222967500003</v>
      </c>
      <c r="H142" s="63">
        <f>+SUM('6.Cons Profit &amp; Loss'!G13:G15)</f>
        <v>411.88449984675003</v>
      </c>
      <c r="I142" s="63">
        <f>+SUM('6.Cons Profit &amp; Loss'!H13:H15)</f>
        <v>456.31568494492507</v>
      </c>
    </row>
    <row r="143" spans="2:9">
      <c r="B143" s="61" t="str">
        <f t="shared" ref="B143" si="17">B128</f>
        <v>Changes In FG Closing Stock</v>
      </c>
      <c r="C143" s="286">
        <f>+'6.Cons Profit &amp; Loss'!B18-'6.Cons Profit &amp; Loss'!B17</f>
        <v>7.629999999999999</v>
      </c>
      <c r="D143" s="286">
        <f>+'6.Cons Profit &amp; Loss'!C18-'6.Cons Profit &amp; Loss'!C17</f>
        <v>1.2950000000000017</v>
      </c>
      <c r="E143" s="286">
        <f>+'6.Cons Profit &amp; Loss'!D18-'6.Cons Profit &amp; Loss'!D17</f>
        <v>1.0857250000000001</v>
      </c>
      <c r="F143" s="286">
        <f>+'6.Cons Profit &amp; Loss'!E18-'6.Cons Profit &amp; Loss'!E17</f>
        <v>1.35715875</v>
      </c>
      <c r="G143" s="286">
        <f>+'6.Cons Profit &amp; Loss'!F18-'6.Cons Profit &amp; Loss'!F17</f>
        <v>1.2733478125000008</v>
      </c>
      <c r="H143" s="286">
        <f>+'6.Cons Profit &amp; Loss'!G18-'6.Cons Profit &amp; Loss'!G17</f>
        <v>1.5764649343750019</v>
      </c>
      <c r="I143" s="286">
        <f>+'6.Cons Profit &amp; Loss'!H18-'6.Cons Profit &amp; Loss'!H17</f>
        <v>3.2970952964062477</v>
      </c>
    </row>
    <row r="144" spans="2:9">
      <c r="B144" s="61" t="s">
        <v>340</v>
      </c>
      <c r="C144" s="63">
        <f>SUM(C137:C143)</f>
        <v>219.94826666666665</v>
      </c>
      <c r="D144" s="63">
        <f t="shared" ref="D144:I144" si="18">SUM(D137:D143)</f>
        <v>255.25986000000006</v>
      </c>
      <c r="E144" s="63">
        <f t="shared" si="18"/>
        <v>290.06631700000008</v>
      </c>
      <c r="F144" s="63">
        <f t="shared" si="18"/>
        <v>330.84785255000003</v>
      </c>
      <c r="G144" s="63">
        <f t="shared" si="18"/>
        <v>370.76557748750002</v>
      </c>
      <c r="H144" s="63">
        <f t="shared" si="18"/>
        <v>413.46096478112503</v>
      </c>
      <c r="I144" s="63">
        <f t="shared" si="18"/>
        <v>459.61278024133134</v>
      </c>
    </row>
    <row r="145" spans="2:15">
      <c r="B145" s="61" t="s">
        <v>341</v>
      </c>
      <c r="C145" s="68"/>
      <c r="D145" s="63"/>
      <c r="E145" s="63"/>
      <c r="F145" s="63"/>
      <c r="G145" s="63"/>
      <c r="H145" s="63"/>
      <c r="I145" s="63"/>
    </row>
    <row r="146" spans="2:15">
      <c r="B146" s="61" t="s">
        <v>342</v>
      </c>
      <c r="C146" s="62">
        <f>'6.Cons Profit &amp; Loss'!B40*(1+$M$124)</f>
        <v>18.768398985000001</v>
      </c>
      <c r="D146" s="62">
        <f>'6.Cons Profit &amp; Loss'!C40*(1+$M$124)</f>
        <v>19.705243934250003</v>
      </c>
      <c r="E146" s="62">
        <f>'6.Cons Profit &amp; Loss'!D40*(1+$M$124)</f>
        <v>20.688931130962501</v>
      </c>
      <c r="F146" s="62">
        <f>'6.Cons Profit &amp; Loss'!E40*(1+$M$124)</f>
        <v>21.721802687510632</v>
      </c>
      <c r="G146" s="62">
        <f>'6.Cons Profit &amp; Loss'!F40*(1+$M$124)</f>
        <v>22.806317821886164</v>
      </c>
      <c r="H146" s="62">
        <f>'6.Cons Profit &amp; Loss'!G40*(1+$M$124)</f>
        <v>23.945058712980472</v>
      </c>
      <c r="I146" s="62">
        <f>'6.Cons Profit &amp; Loss'!H40*(1+$M$124)</f>
        <v>25.140736648629492</v>
      </c>
    </row>
    <row r="147" spans="2:15">
      <c r="B147" s="61" t="s">
        <v>301</v>
      </c>
      <c r="C147" s="62">
        <f>'6.Cons Profit &amp; Loss'!B29*(1+$M$124)</f>
        <v>172.45042374736843</v>
      </c>
      <c r="D147" s="62">
        <f>'6.Cons Profit &amp; Loss'!C29*(1+$M$124)</f>
        <v>198.83513417894744</v>
      </c>
      <c r="E147" s="62">
        <f>'6.Cons Profit &amp; Loss'!D29*(1+$M$124)</f>
        <v>226.50941307105265</v>
      </c>
      <c r="F147" s="62">
        <f>'6.Cons Profit &amp; Loss'!E29*(1+$M$124)</f>
        <v>257.42267429144738</v>
      </c>
      <c r="G147" s="62">
        <f>'6.Cons Profit &amp; Loss'!F29*(1+$M$124)</f>
        <v>288.48280278009884</v>
      </c>
      <c r="H147" s="62">
        <f>'6.Cons Profit &amp; Loss'!G29*(1+$M$124)</f>
        <v>322.3249025255115</v>
      </c>
      <c r="I147" s="62">
        <f>'6.Cons Profit &amp; Loss'!H29*(1+$M$124)</f>
        <v>361.32724926865529</v>
      </c>
    </row>
    <row r="148" spans="2:15">
      <c r="B148" s="61" t="s">
        <v>343</v>
      </c>
      <c r="C148" s="62">
        <f t="shared" ref="C148:I148" si="19">SUM(C146:C147)</f>
        <v>191.21882273236844</v>
      </c>
      <c r="D148" s="62">
        <f t="shared" si="19"/>
        <v>218.54037811319745</v>
      </c>
      <c r="E148" s="62">
        <f t="shared" si="19"/>
        <v>247.19834420201516</v>
      </c>
      <c r="F148" s="62">
        <f t="shared" si="19"/>
        <v>279.14447697895798</v>
      </c>
      <c r="G148" s="62">
        <f t="shared" si="19"/>
        <v>311.28912060198502</v>
      </c>
      <c r="H148" s="62">
        <f t="shared" si="19"/>
        <v>346.26996123849199</v>
      </c>
      <c r="I148" s="62">
        <f t="shared" si="19"/>
        <v>386.46798591728481</v>
      </c>
    </row>
    <row r="149" spans="2:15">
      <c r="B149" s="64" t="s">
        <v>344</v>
      </c>
      <c r="C149" s="65">
        <f t="shared" ref="C149:I149" si="20">+C144-C148</f>
        <v>28.729443934298217</v>
      </c>
      <c r="D149" s="65">
        <f t="shared" si="20"/>
        <v>36.719481886802612</v>
      </c>
      <c r="E149" s="65">
        <f t="shared" si="20"/>
        <v>42.867972797984919</v>
      </c>
      <c r="F149" s="65">
        <f t="shared" si="20"/>
        <v>51.703375571042045</v>
      </c>
      <c r="G149" s="65">
        <f t="shared" si="20"/>
        <v>59.476456885515006</v>
      </c>
      <c r="H149" s="65">
        <f t="shared" si="20"/>
        <v>67.191003542633041</v>
      </c>
      <c r="I149" s="65">
        <f t="shared" si="20"/>
        <v>73.144794324046529</v>
      </c>
      <c r="N149" s="4"/>
      <c r="O149" s="6"/>
    </row>
    <row r="150" spans="2:15">
      <c r="B150" s="66"/>
      <c r="C150" s="67"/>
      <c r="D150" s="67"/>
      <c r="E150" s="67"/>
      <c r="F150" s="67"/>
      <c r="G150" s="67"/>
      <c r="H150" s="67"/>
      <c r="I150" s="67"/>
    </row>
    <row r="151" spans="2:15">
      <c r="B151" s="69" t="s">
        <v>346</v>
      </c>
      <c r="C151" s="70" t="s">
        <v>2</v>
      </c>
      <c r="D151" s="70" t="s">
        <v>3</v>
      </c>
      <c r="E151" s="70" t="s">
        <v>4</v>
      </c>
      <c r="F151" s="70" t="s">
        <v>5</v>
      </c>
      <c r="G151" s="70" t="s">
        <v>6</v>
      </c>
      <c r="H151" s="70" t="s">
        <v>163</v>
      </c>
      <c r="I151" s="70" t="s">
        <v>162</v>
      </c>
    </row>
    <row r="152" spans="2:15">
      <c r="B152" s="61" t="str">
        <f t="shared" ref="B152:B158" si="21">B137</f>
        <v>Faclitiy 1 - Cleaning &amp; Grading</v>
      </c>
      <c r="C152" s="286">
        <f>'6.Cons Profit &amp; Loss'!B8*(1-$M$123)</f>
        <v>0</v>
      </c>
      <c r="D152" s="286">
        <f>'6.Cons Profit &amp; Loss'!C8*(1-$M$123)</f>
        <v>0</v>
      </c>
      <c r="E152" s="286">
        <f>'6.Cons Profit &amp; Loss'!D8*(1-$M$123)</f>
        <v>0</v>
      </c>
      <c r="F152" s="286">
        <f>'6.Cons Profit &amp; Loss'!E8*(1-$M$123)</f>
        <v>0</v>
      </c>
      <c r="G152" s="286">
        <f>'6.Cons Profit &amp; Loss'!F8*(1-$M$123)</f>
        <v>0</v>
      </c>
      <c r="H152" s="286">
        <f>'6.Cons Profit &amp; Loss'!G8*(1-$M$123)</f>
        <v>0</v>
      </c>
      <c r="I152" s="286">
        <f>'6.Cons Profit &amp; Loss'!H8*(1-$M$123)</f>
        <v>0</v>
      </c>
    </row>
    <row r="153" spans="2:15">
      <c r="B153" s="61" t="str">
        <f t="shared" si="21"/>
        <v>Faclitiy 2 - Processing Unit- Dal Mill</v>
      </c>
      <c r="C153" s="534">
        <f>'6.Cons Profit &amp; Loss'!B9*(1-$M$123)</f>
        <v>0</v>
      </c>
      <c r="D153" s="534">
        <f>'6.Cons Profit &amp; Loss'!C9*(1-$M$123)</f>
        <v>0</v>
      </c>
      <c r="E153" s="534">
        <f>'6.Cons Profit &amp; Loss'!D9*(1-$M$123)</f>
        <v>0</v>
      </c>
      <c r="F153" s="534">
        <f>'6.Cons Profit &amp; Loss'!E9*(1-$M$123)</f>
        <v>0</v>
      </c>
      <c r="G153" s="534">
        <f>'6.Cons Profit &amp; Loss'!F9*(1-$M$123)</f>
        <v>0</v>
      </c>
      <c r="H153" s="534">
        <f>'6.Cons Profit &amp; Loss'!G9*(1-$M$123)</f>
        <v>0</v>
      </c>
      <c r="I153" s="534">
        <f>'6.Cons Profit &amp; Loss'!H9*(1-$M$123)</f>
        <v>0</v>
      </c>
    </row>
    <row r="154" spans="2:15">
      <c r="B154" s="61" t="str">
        <f t="shared" si="21"/>
        <v>Faclitiy 3 - Warehouse</v>
      </c>
      <c r="C154" s="534">
        <f>'6.Cons Profit &amp; Loss'!B10*(1-$M$123)</f>
        <v>0</v>
      </c>
      <c r="D154" s="534">
        <f>'6.Cons Profit &amp; Loss'!C10*(1-$M$123)</f>
        <v>0</v>
      </c>
      <c r="E154" s="534">
        <f>'6.Cons Profit &amp; Loss'!D10*(1-$M$123)</f>
        <v>0</v>
      </c>
      <c r="F154" s="534">
        <f>'6.Cons Profit &amp; Loss'!E10*(1-$M$123)</f>
        <v>0</v>
      </c>
      <c r="G154" s="534">
        <f>'6.Cons Profit &amp; Loss'!F10*(1-$M$123)</f>
        <v>0</v>
      </c>
      <c r="H154" s="534">
        <f>'6.Cons Profit &amp; Loss'!G10*(1-$M$123)</f>
        <v>0</v>
      </c>
      <c r="I154" s="534">
        <f>'6.Cons Profit &amp; Loss'!H10*(1-$M$123)</f>
        <v>0</v>
      </c>
    </row>
    <row r="155" spans="2:15">
      <c r="B155" s="61" t="str">
        <f t="shared" si="21"/>
        <v xml:space="preserve">Faclitiy 4 - Custom Hiring </v>
      </c>
      <c r="C155" s="534">
        <f>'6.Cons Profit &amp; Loss'!B11*(1-$M$123)</f>
        <v>0</v>
      </c>
      <c r="D155" s="534">
        <f>'6.Cons Profit &amp; Loss'!C11*(1-$M$123)</f>
        <v>0</v>
      </c>
      <c r="E155" s="534">
        <f>'6.Cons Profit &amp; Loss'!D11*(1-$M$123)</f>
        <v>0</v>
      </c>
      <c r="F155" s="534">
        <f>'6.Cons Profit &amp; Loss'!E11*(1-$M$123)</f>
        <v>0</v>
      </c>
      <c r="G155" s="534">
        <f>'6.Cons Profit &amp; Loss'!F11*(1-$M$123)</f>
        <v>0</v>
      </c>
      <c r="H155" s="534">
        <f>'6.Cons Profit &amp; Loss'!G11*(1-$M$123)</f>
        <v>0</v>
      </c>
      <c r="I155" s="534">
        <f>'6.Cons Profit &amp; Loss'!H11*(1-$M$123)</f>
        <v>0</v>
      </c>
    </row>
    <row r="156" spans="2:15">
      <c r="B156" s="61" t="str">
        <f t="shared" si="21"/>
        <v>Faclitiy 5 - Agri Input Centre</v>
      </c>
      <c r="C156" s="534">
        <f>'6.Cons Profit &amp; Loss'!B12*(1-$M$123)</f>
        <v>0</v>
      </c>
      <c r="D156" s="534">
        <f>'6.Cons Profit &amp; Loss'!C12*(1-$M$123)</f>
        <v>0</v>
      </c>
      <c r="E156" s="534">
        <f>'6.Cons Profit &amp; Loss'!D12*(1-$M$123)</f>
        <v>0</v>
      </c>
      <c r="F156" s="534">
        <f>'6.Cons Profit &amp; Loss'!E12*(1-$M$123)</f>
        <v>0</v>
      </c>
      <c r="G156" s="534">
        <f>'6.Cons Profit &amp; Loss'!F12*(1-$M$123)</f>
        <v>0</v>
      </c>
      <c r="H156" s="534">
        <f>'6.Cons Profit &amp; Loss'!G12*(1-$M$123)</f>
        <v>0</v>
      </c>
      <c r="I156" s="534">
        <f>'6.Cons Profit &amp; Loss'!H12*(1-$M$123)</f>
        <v>0</v>
      </c>
    </row>
    <row r="157" spans="2:15">
      <c r="B157" s="61" t="str">
        <f t="shared" si="21"/>
        <v>Facility 6 - Processing Unit - Oil Mill, Cleaning Grading &amp; Cattel Feed</v>
      </c>
      <c r="C157" s="534">
        <f>+SUM('6.Cons Profit &amp; Loss'!B13:B15)*(1-$M$123)</f>
        <v>201.70235333333332</v>
      </c>
      <c r="D157" s="534">
        <f>'6.Cons Profit &amp; Loss'!C13*(1-$M$123)</f>
        <v>215.24307700000006</v>
      </c>
      <c r="E157" s="534">
        <f>'6.Cons Profit &amp; Loss'!D13*(1-$M$123)</f>
        <v>245.33110840000003</v>
      </c>
      <c r="F157" s="534">
        <f>'6.Cons Profit &amp; Loss'!E13*(1-$M$123)</f>
        <v>280.47641806000001</v>
      </c>
      <c r="G157" s="534">
        <f>'6.Cons Profit &amp; Loss'!F13*(1-$M$123)</f>
        <v>314.96643669625001</v>
      </c>
      <c r="H157" s="534">
        <f>'6.Cons Profit &amp; Loss'!G13*(1-$M$123)</f>
        <v>352.73292067253755</v>
      </c>
      <c r="I157" s="534">
        <f>'6.Cons Profit &amp; Loss'!H13*(1-$M$123)</f>
        <v>391.02717601397882</v>
      </c>
    </row>
    <row r="158" spans="2:15">
      <c r="B158" s="61" t="str">
        <f t="shared" si="21"/>
        <v>Changes In FG Closing Stock</v>
      </c>
      <c r="C158" s="534">
        <f>+'6.Cons Profit &amp; Loss'!B18-'6.Cons Profit &amp; Loss'!B17</f>
        <v>7.629999999999999</v>
      </c>
      <c r="D158" s="534">
        <f>+'6.Cons Profit &amp; Loss'!C18-'6.Cons Profit &amp; Loss'!C17</f>
        <v>1.2950000000000017</v>
      </c>
      <c r="E158" s="534">
        <f>+'6.Cons Profit &amp; Loss'!D18-'6.Cons Profit &amp; Loss'!D17</f>
        <v>1.0857250000000001</v>
      </c>
      <c r="F158" s="534">
        <f>+'6.Cons Profit &amp; Loss'!E18-'6.Cons Profit &amp; Loss'!E17</f>
        <v>1.35715875</v>
      </c>
      <c r="G158" s="534">
        <f>+'6.Cons Profit &amp; Loss'!F18-'6.Cons Profit &amp; Loss'!F17</f>
        <v>1.2733478125000008</v>
      </c>
      <c r="H158" s="534">
        <f>+'6.Cons Profit &amp; Loss'!G18-'6.Cons Profit &amp; Loss'!G17</f>
        <v>1.5764649343750019</v>
      </c>
      <c r="I158" s="534">
        <f>+'6.Cons Profit &amp; Loss'!H18-'6.Cons Profit &amp; Loss'!H17</f>
        <v>3.2970952964062477</v>
      </c>
    </row>
    <row r="159" spans="2:15">
      <c r="B159" s="61" t="s">
        <v>340</v>
      </c>
      <c r="C159" s="534">
        <f>SUM(C152:C158)</f>
        <v>209.33235333333332</v>
      </c>
      <c r="D159" s="534">
        <f t="shared" ref="D159:I159" si="22">SUM(D152:D158)</f>
        <v>216.53807700000004</v>
      </c>
      <c r="E159" s="534">
        <f t="shared" si="22"/>
        <v>246.41683340000003</v>
      </c>
      <c r="F159" s="534">
        <f t="shared" si="22"/>
        <v>281.83357681000001</v>
      </c>
      <c r="G159" s="534">
        <f t="shared" si="22"/>
        <v>316.23978450875001</v>
      </c>
      <c r="H159" s="534">
        <f t="shared" si="22"/>
        <v>354.30938560691254</v>
      </c>
      <c r="I159" s="534">
        <f t="shared" si="22"/>
        <v>394.32427131038509</v>
      </c>
    </row>
    <row r="160" spans="2:15">
      <c r="B160" s="61" t="s">
        <v>341</v>
      </c>
      <c r="C160" s="534"/>
      <c r="D160" s="534"/>
      <c r="E160" s="534"/>
      <c r="F160" s="534"/>
      <c r="G160" s="534"/>
      <c r="H160" s="534"/>
      <c r="I160" s="534"/>
    </row>
    <row r="161" spans="2:9">
      <c r="B161" s="61" t="s">
        <v>342</v>
      </c>
      <c r="C161" s="534">
        <f>'6.Cons Profit &amp; Loss'!B40</f>
        <v>17.874665700000001</v>
      </c>
      <c r="D161" s="534">
        <f>'6.Cons Profit &amp; Loss'!C40</f>
        <v>18.766898985000001</v>
      </c>
      <c r="E161" s="534">
        <f>'6.Cons Profit &amp; Loss'!D40</f>
        <v>19.703743934249999</v>
      </c>
      <c r="F161" s="534">
        <f>'6.Cons Profit &amp; Loss'!E40</f>
        <v>20.687431130962505</v>
      </c>
      <c r="G161" s="534">
        <f>'6.Cons Profit &amp; Loss'!F40</f>
        <v>21.720302687510632</v>
      </c>
      <c r="H161" s="534">
        <f>'6.Cons Profit &amp; Loss'!G40</f>
        <v>22.804817821886164</v>
      </c>
      <c r="I161" s="534">
        <f>'6.Cons Profit &amp; Loss'!H40</f>
        <v>23.943558712980469</v>
      </c>
    </row>
    <row r="162" spans="2:9">
      <c r="B162" s="61" t="s">
        <v>301</v>
      </c>
      <c r="C162" s="534">
        <f>'6.Cons Profit &amp; Loss'!B29*(1-$M$123)</f>
        <v>156.02657386666667</v>
      </c>
      <c r="D162" s="534">
        <f>'6.Cons Profit &amp; Loss'!C29*(1-$M$123)</f>
        <v>179.89845473333338</v>
      </c>
      <c r="E162" s="534">
        <f>'6.Cons Profit &amp; Loss'!D29*(1-$M$123)</f>
        <v>204.93708801666665</v>
      </c>
      <c r="F162" s="534">
        <f>'6.Cons Profit &amp; Loss'!E29*(1-$M$123)</f>
        <v>232.90622912083333</v>
      </c>
      <c r="G162" s="534">
        <f>'6.Cons Profit &amp; Loss'!F29*(1-$M$123)</f>
        <v>261.00825013437509</v>
      </c>
      <c r="H162" s="534">
        <f>'6.Cons Profit &amp; Loss'!G29*(1-$M$123)</f>
        <v>291.6272927611771</v>
      </c>
      <c r="I162" s="534">
        <f>'6.Cons Profit &amp; Loss'!H29*(1-$M$123)</f>
        <v>326.91513029068807</v>
      </c>
    </row>
    <row r="163" spans="2:9">
      <c r="B163" s="61" t="s">
        <v>343</v>
      </c>
      <c r="C163" s="534">
        <f t="shared" ref="C163:I163" si="23">SUM(C161:C162)</f>
        <v>173.90123956666667</v>
      </c>
      <c r="D163" s="534">
        <f t="shared" si="23"/>
        <v>198.66535371833339</v>
      </c>
      <c r="E163" s="534">
        <f t="shared" si="23"/>
        <v>224.64083195091666</v>
      </c>
      <c r="F163" s="534">
        <f t="shared" si="23"/>
        <v>253.59366025179582</v>
      </c>
      <c r="G163" s="534">
        <f t="shared" si="23"/>
        <v>282.72855282188573</v>
      </c>
      <c r="H163" s="534">
        <f t="shared" si="23"/>
        <v>314.43211058306326</v>
      </c>
      <c r="I163" s="534">
        <f t="shared" si="23"/>
        <v>350.85868900366853</v>
      </c>
    </row>
    <row r="164" spans="2:9">
      <c r="B164" s="64" t="s">
        <v>344</v>
      </c>
      <c r="C164" s="535">
        <f t="shared" ref="C164:I164" si="24">+C159-C163</f>
        <v>35.431113766666641</v>
      </c>
      <c r="D164" s="535">
        <f t="shared" si="24"/>
        <v>17.872723281666651</v>
      </c>
      <c r="E164" s="535">
        <f t="shared" si="24"/>
        <v>21.776001449083367</v>
      </c>
      <c r="F164" s="535">
        <f t="shared" si="24"/>
        <v>28.239916558204186</v>
      </c>
      <c r="G164" s="535">
        <f t="shared" si="24"/>
        <v>33.511231686864278</v>
      </c>
      <c r="H164" s="535">
        <f t="shared" si="24"/>
        <v>39.877275023849279</v>
      </c>
      <c r="I164" s="535">
        <f t="shared" si="24"/>
        <v>43.465582306716556</v>
      </c>
    </row>
    <row r="165" spans="2:9">
      <c r="B165" s="13"/>
      <c r="C165" s="536"/>
      <c r="D165" s="536"/>
      <c r="E165" s="536"/>
      <c r="F165" s="536"/>
      <c r="G165" s="536"/>
      <c r="H165" s="536"/>
      <c r="I165" s="536"/>
    </row>
    <row r="166" spans="2:9">
      <c r="B166" s="69" t="s">
        <v>347</v>
      </c>
      <c r="C166" s="537" t="s">
        <v>2</v>
      </c>
      <c r="D166" s="537" t="s">
        <v>3</v>
      </c>
      <c r="E166" s="537" t="s">
        <v>4</v>
      </c>
      <c r="F166" s="537" t="s">
        <v>5</v>
      </c>
      <c r="G166" s="537" t="s">
        <v>6</v>
      </c>
      <c r="H166" s="537" t="s">
        <v>163</v>
      </c>
      <c r="I166" s="537" t="s">
        <v>162</v>
      </c>
    </row>
    <row r="167" spans="2:9">
      <c r="B167" s="61" t="str">
        <f t="shared" ref="B167:B173" si="25">B152</f>
        <v>Faclitiy 1 - Cleaning &amp; Grading</v>
      </c>
      <c r="C167" s="538">
        <f>'6.Cons Profit &amp; Loss'!B8</f>
        <v>0</v>
      </c>
      <c r="D167" s="538">
        <f>'6.Cons Profit &amp; Loss'!C8</f>
        <v>0</v>
      </c>
      <c r="E167" s="538">
        <f>'6.Cons Profit &amp; Loss'!D8</f>
        <v>0</v>
      </c>
      <c r="F167" s="538">
        <f>'6.Cons Profit &amp; Loss'!E8</f>
        <v>0</v>
      </c>
      <c r="G167" s="538">
        <f>'6.Cons Profit &amp; Loss'!F8</f>
        <v>0</v>
      </c>
      <c r="H167" s="538">
        <f>'6.Cons Profit &amp; Loss'!G8</f>
        <v>0</v>
      </c>
      <c r="I167" s="538">
        <f>'6.Cons Profit &amp; Loss'!H8</f>
        <v>0</v>
      </c>
    </row>
    <row r="168" spans="2:9">
      <c r="B168" s="61" t="str">
        <f t="shared" si="25"/>
        <v>Faclitiy 2 - Processing Unit- Dal Mill</v>
      </c>
      <c r="C168" s="538">
        <f>'6.Cons Profit &amp; Loss'!B9</f>
        <v>0</v>
      </c>
      <c r="D168" s="538">
        <f>'6.Cons Profit &amp; Loss'!C9</f>
        <v>0</v>
      </c>
      <c r="E168" s="538">
        <f>'6.Cons Profit &amp; Loss'!D9</f>
        <v>0</v>
      </c>
      <c r="F168" s="538">
        <f>'6.Cons Profit &amp; Loss'!E9</f>
        <v>0</v>
      </c>
      <c r="G168" s="538">
        <f>'6.Cons Profit &amp; Loss'!F9</f>
        <v>0</v>
      </c>
      <c r="H168" s="538">
        <f>'6.Cons Profit &amp; Loss'!G9</f>
        <v>0</v>
      </c>
      <c r="I168" s="538">
        <f>'6.Cons Profit &amp; Loss'!H9</f>
        <v>0</v>
      </c>
    </row>
    <row r="169" spans="2:9">
      <c r="B169" s="61" t="str">
        <f t="shared" si="25"/>
        <v>Faclitiy 3 - Warehouse</v>
      </c>
      <c r="C169" s="538">
        <f>'6.Cons Profit &amp; Loss'!B10</f>
        <v>0</v>
      </c>
      <c r="D169" s="538">
        <f>'6.Cons Profit &amp; Loss'!C10</f>
        <v>0</v>
      </c>
      <c r="E169" s="538">
        <f>'6.Cons Profit &amp; Loss'!D10</f>
        <v>0</v>
      </c>
      <c r="F169" s="538">
        <f>'6.Cons Profit &amp; Loss'!E10</f>
        <v>0</v>
      </c>
      <c r="G169" s="538">
        <f>'6.Cons Profit &amp; Loss'!F10</f>
        <v>0</v>
      </c>
      <c r="H169" s="538">
        <f>'6.Cons Profit &amp; Loss'!G10</f>
        <v>0</v>
      </c>
      <c r="I169" s="538">
        <f>'6.Cons Profit &amp; Loss'!H10</f>
        <v>0</v>
      </c>
    </row>
    <row r="170" spans="2:9">
      <c r="B170" s="61" t="str">
        <f t="shared" si="25"/>
        <v xml:space="preserve">Faclitiy 4 - Custom Hiring </v>
      </c>
      <c r="C170" s="538">
        <f>'6.Cons Profit &amp; Loss'!B11</f>
        <v>0</v>
      </c>
      <c r="D170" s="538">
        <f>'6.Cons Profit &amp; Loss'!C11</f>
        <v>0</v>
      </c>
      <c r="E170" s="538">
        <f>'6.Cons Profit &amp; Loss'!D11</f>
        <v>0</v>
      </c>
      <c r="F170" s="538">
        <f>'6.Cons Profit &amp; Loss'!E11</f>
        <v>0</v>
      </c>
      <c r="G170" s="538">
        <f>'6.Cons Profit &amp; Loss'!F11</f>
        <v>0</v>
      </c>
      <c r="H170" s="538">
        <f>'6.Cons Profit &amp; Loss'!G11</f>
        <v>0</v>
      </c>
      <c r="I170" s="538">
        <f>'6.Cons Profit &amp; Loss'!H11</f>
        <v>0</v>
      </c>
    </row>
    <row r="171" spans="2:9">
      <c r="B171" s="61" t="str">
        <f t="shared" si="25"/>
        <v>Faclitiy 5 - Agri Input Centre</v>
      </c>
      <c r="C171" s="538">
        <f>'6.Cons Profit &amp; Loss'!B12</f>
        <v>0</v>
      </c>
      <c r="D171" s="538">
        <f>'6.Cons Profit &amp; Loss'!C12</f>
        <v>0</v>
      </c>
      <c r="E171" s="538">
        <f>'6.Cons Profit &amp; Loss'!D12</f>
        <v>0</v>
      </c>
      <c r="F171" s="538">
        <f>'6.Cons Profit &amp; Loss'!E12</f>
        <v>0</v>
      </c>
      <c r="G171" s="538">
        <f>'6.Cons Profit &amp; Loss'!F12</f>
        <v>0</v>
      </c>
      <c r="H171" s="538">
        <f>'6.Cons Profit &amp; Loss'!G12</f>
        <v>0</v>
      </c>
      <c r="I171" s="538">
        <f>'6.Cons Profit &amp; Loss'!H12</f>
        <v>0</v>
      </c>
    </row>
    <row r="172" spans="2:9">
      <c r="B172" s="61" t="str">
        <f t="shared" si="25"/>
        <v>Facility 6 - Processing Unit - Oil Mill, Cleaning Grading &amp; Cattel Feed</v>
      </c>
      <c r="C172" s="538">
        <f>+SUM('6.Cons Profit &amp; Loss'!B13:B15)</f>
        <v>212.31826666666666</v>
      </c>
      <c r="D172" s="538">
        <f>+SUM('6.Cons Profit &amp; Loss'!C13:C15)</f>
        <v>253.96486000000007</v>
      </c>
      <c r="E172" s="538">
        <f>+SUM('6.Cons Profit &amp; Loss'!D13:D15)</f>
        <v>288.98059200000006</v>
      </c>
      <c r="F172" s="538">
        <f>+SUM('6.Cons Profit &amp; Loss'!E13:E15)</f>
        <v>329.49069380000003</v>
      </c>
      <c r="G172" s="538">
        <f>+SUM('6.Cons Profit &amp; Loss'!F13:F15)</f>
        <v>369.49222967500003</v>
      </c>
      <c r="H172" s="538">
        <f>+SUM('6.Cons Profit &amp; Loss'!G13:G15)</f>
        <v>411.88449984675003</v>
      </c>
      <c r="I172" s="538">
        <f>+SUM('6.Cons Profit &amp; Loss'!H13:H15)</f>
        <v>456.31568494492507</v>
      </c>
    </row>
    <row r="173" spans="2:9">
      <c r="B173" s="61" t="str">
        <f t="shared" si="25"/>
        <v>Changes In FG Closing Stock</v>
      </c>
      <c r="C173" s="538">
        <f>+'6.Cons Profit &amp; Loss'!B18-'6.Cons Profit &amp; Loss'!B17</f>
        <v>7.629999999999999</v>
      </c>
      <c r="D173" s="538">
        <f>+'6.Cons Profit &amp; Loss'!C18-'6.Cons Profit &amp; Loss'!C17</f>
        <v>1.2950000000000017</v>
      </c>
      <c r="E173" s="538">
        <f>+'6.Cons Profit &amp; Loss'!D18-'6.Cons Profit &amp; Loss'!D17</f>
        <v>1.0857250000000001</v>
      </c>
      <c r="F173" s="538">
        <f>+'6.Cons Profit &amp; Loss'!E18-'6.Cons Profit &amp; Loss'!E17</f>
        <v>1.35715875</v>
      </c>
      <c r="G173" s="538">
        <f>+'6.Cons Profit &amp; Loss'!F18-'6.Cons Profit &amp; Loss'!F17</f>
        <v>1.2733478125000008</v>
      </c>
      <c r="H173" s="538">
        <f>+'6.Cons Profit &amp; Loss'!G18-'6.Cons Profit &amp; Loss'!G17</f>
        <v>1.5764649343750019</v>
      </c>
      <c r="I173" s="538">
        <f>+'6.Cons Profit &amp; Loss'!H18-'6.Cons Profit &amp; Loss'!H17</f>
        <v>3.2970952964062477</v>
      </c>
    </row>
    <row r="174" spans="2:9">
      <c r="B174" s="61" t="s">
        <v>340</v>
      </c>
      <c r="C174" s="538">
        <f>SUM(C167:C173)</f>
        <v>219.94826666666665</v>
      </c>
      <c r="D174" s="538">
        <f t="shared" ref="D174:I174" si="26">SUM(D167:D173)</f>
        <v>255.25986000000006</v>
      </c>
      <c r="E174" s="538">
        <f t="shared" si="26"/>
        <v>290.06631700000008</v>
      </c>
      <c r="F174" s="538">
        <f t="shared" si="26"/>
        <v>330.84785255000003</v>
      </c>
      <c r="G174" s="538">
        <f t="shared" si="26"/>
        <v>370.76557748750002</v>
      </c>
      <c r="H174" s="538">
        <f t="shared" si="26"/>
        <v>413.46096478112503</v>
      </c>
      <c r="I174" s="538">
        <f t="shared" si="26"/>
        <v>459.61278024133134</v>
      </c>
    </row>
    <row r="175" spans="2:9">
      <c r="B175" s="61" t="s">
        <v>341</v>
      </c>
      <c r="C175" s="538"/>
      <c r="D175" s="538"/>
      <c r="E175" s="538"/>
      <c r="F175" s="538"/>
      <c r="G175" s="538"/>
      <c r="H175" s="538"/>
      <c r="I175" s="538"/>
    </row>
    <row r="176" spans="2:9">
      <c r="B176" s="61" t="s">
        <v>342</v>
      </c>
      <c r="C176" s="538">
        <f>'6.Cons Profit &amp; Loss'!B40*(1-$M$124)</f>
        <v>16.980932415000002</v>
      </c>
      <c r="D176" s="538">
        <f>'6.Cons Profit &amp; Loss'!C40*(1-$M$124)</f>
        <v>17.828554035749999</v>
      </c>
      <c r="E176" s="538">
        <f>'6.Cons Profit &amp; Loss'!D40*(1-$M$124)</f>
        <v>18.718556737537497</v>
      </c>
      <c r="F176" s="538">
        <f>'6.Cons Profit &amp; Loss'!E40*(1-$M$124)</f>
        <v>19.653059574414378</v>
      </c>
      <c r="G176" s="538">
        <f>'6.Cons Profit &amp; Loss'!F40*(1-$M$124)</f>
        <v>20.634287553135099</v>
      </c>
      <c r="H176" s="538">
        <f>'6.Cons Profit &amp; Loss'!G40*(1-$M$124)</f>
        <v>21.664576930791856</v>
      </c>
      <c r="I176" s="538">
        <f>'6.Cons Profit &amp; Loss'!H40*(1-$M$124)</f>
        <v>22.746380777331446</v>
      </c>
    </row>
    <row r="177" spans="2:13">
      <c r="B177" s="61" t="s">
        <v>301</v>
      </c>
      <c r="C177" s="538">
        <f>'6.Cons Profit &amp; Loss'!B29*(1-$M$124)</f>
        <v>156.02657386666667</v>
      </c>
      <c r="D177" s="538">
        <f>'6.Cons Profit &amp; Loss'!C29*(1-$M$124)</f>
        <v>179.89845473333338</v>
      </c>
      <c r="E177" s="538">
        <f>'6.Cons Profit &amp; Loss'!D29*(1-$M$124)</f>
        <v>204.93708801666665</v>
      </c>
      <c r="F177" s="538">
        <f>'6.Cons Profit &amp; Loss'!E29*(1-$M$124)</f>
        <v>232.90622912083333</v>
      </c>
      <c r="G177" s="538">
        <f>'6.Cons Profit &amp; Loss'!F29*(1-$M$124)</f>
        <v>261.00825013437509</v>
      </c>
      <c r="H177" s="538">
        <f>'6.Cons Profit &amp; Loss'!G29*(1-$M$124)</f>
        <v>291.6272927611771</v>
      </c>
      <c r="I177" s="538">
        <f>'6.Cons Profit &amp; Loss'!H29*(1-$M$124)</f>
        <v>326.91513029068807</v>
      </c>
    </row>
    <row r="178" spans="2:13">
      <c r="B178" s="61" t="s">
        <v>343</v>
      </c>
      <c r="C178" s="538">
        <f>SUM(C176:C177)</f>
        <v>173.00750628166668</v>
      </c>
      <c r="D178" s="538">
        <f t="shared" ref="D178:I178" si="27">SUM(D176:D177)</f>
        <v>197.72700876908337</v>
      </c>
      <c r="E178" s="538">
        <f t="shared" si="27"/>
        <v>223.65564475420416</v>
      </c>
      <c r="F178" s="538">
        <f t="shared" si="27"/>
        <v>252.55928869524772</v>
      </c>
      <c r="G178" s="538">
        <f t="shared" si="27"/>
        <v>281.64253768751018</v>
      </c>
      <c r="H178" s="538">
        <f t="shared" si="27"/>
        <v>313.29186969196894</v>
      </c>
      <c r="I178" s="538">
        <f t="shared" si="27"/>
        <v>349.66151106801954</v>
      </c>
    </row>
    <row r="179" spans="2:13">
      <c r="B179" s="64" t="s">
        <v>344</v>
      </c>
      <c r="C179" s="65">
        <f t="shared" ref="C179:I179" si="28">+C174-C178</f>
        <v>46.940760384999976</v>
      </c>
      <c r="D179" s="65">
        <f t="shared" si="28"/>
        <v>57.532851230916691</v>
      </c>
      <c r="E179" s="65">
        <f t="shared" si="28"/>
        <v>66.410672245795922</v>
      </c>
      <c r="F179" s="65">
        <f t="shared" si="28"/>
        <v>78.288563854752311</v>
      </c>
      <c r="G179" s="65">
        <f t="shared" si="28"/>
        <v>89.12303979998984</v>
      </c>
      <c r="H179" s="65">
        <f t="shared" si="28"/>
        <v>100.16909508915609</v>
      </c>
      <c r="I179" s="65">
        <f t="shared" si="28"/>
        <v>109.9512691733118</v>
      </c>
    </row>
    <row r="181" spans="2:13" ht="41.1" customHeight="1">
      <c r="B181" s="757" t="s">
        <v>485</v>
      </c>
      <c r="C181" s="757"/>
      <c r="D181" s="757"/>
      <c r="E181" s="757"/>
      <c r="F181" s="757"/>
      <c r="G181" s="757"/>
      <c r="H181" s="757"/>
      <c r="I181" s="757"/>
      <c r="J181" s="291"/>
      <c r="K181" s="291"/>
      <c r="L181" s="291"/>
      <c r="M181" s="291"/>
    </row>
  </sheetData>
  <sheetProtection formatCells="0" formatColumns="0" formatRows="0" insertColumns="0" insertRows="0" insertHyperlinks="0" deleteColumns="0" deleteRows="0" sort="0" autoFilter="0" pivotTables="0"/>
  <mergeCells count="20">
    <mergeCell ref="B181:I181"/>
    <mergeCell ref="B120:I120"/>
    <mergeCell ref="K120:R120"/>
    <mergeCell ref="D20:J20"/>
    <mergeCell ref="D22:J22"/>
    <mergeCell ref="B85:I85"/>
    <mergeCell ref="B100:J100"/>
    <mergeCell ref="B118:J118"/>
    <mergeCell ref="B102:I102"/>
    <mergeCell ref="B73:I73"/>
    <mergeCell ref="C79:I79"/>
    <mergeCell ref="C80:I80"/>
    <mergeCell ref="C82:I82"/>
    <mergeCell ref="B87:J87"/>
    <mergeCell ref="B48:I48"/>
    <mergeCell ref="B5:J5"/>
    <mergeCell ref="B26:I26"/>
    <mergeCell ref="B51:I51"/>
    <mergeCell ref="B24:J24"/>
    <mergeCell ref="B72:I72"/>
  </mergeCells>
  <hyperlinks>
    <hyperlink ref="B24" r:id="rId1" display="https://www.investopedia.com/terms/d/discountrate.asp"/>
  </hyperlinks>
  <pageMargins left="0.7" right="0.7" top="0.75" bottom="0.75" header="0.3" footer="0.3"/>
  <pageSetup scale="51" orientation="portrait"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51"/>
  <sheetViews>
    <sheetView view="pageBreakPreview" zoomScaleSheetLayoutView="100" workbookViewId="0">
      <selection activeCell="A5" sqref="A5"/>
    </sheetView>
  </sheetViews>
  <sheetFormatPr defaultRowHeight="15"/>
  <cols>
    <col min="1" max="1" width="32.140625" customWidth="1"/>
    <col min="2" max="2" width="23.28515625" bestFit="1" customWidth="1"/>
    <col min="3" max="8" width="12.140625" customWidth="1"/>
    <col min="9" max="9" width="11.7109375" bestFit="1" customWidth="1"/>
    <col min="10" max="10" width="9.42578125" bestFit="1" customWidth="1"/>
    <col min="11" max="15" width="10.5703125" bestFit="1" customWidth="1"/>
  </cols>
  <sheetData>
    <row r="1" spans="1:24" ht="18.75">
      <c r="A1" s="703" t="s">
        <v>538</v>
      </c>
      <c r="B1" s="703"/>
      <c r="C1" s="703"/>
      <c r="D1" s="703"/>
      <c r="E1" s="703"/>
      <c r="F1" s="703"/>
      <c r="G1" s="703"/>
      <c r="H1" s="703"/>
    </row>
    <row r="2" spans="1:24">
      <c r="B2" s="4"/>
    </row>
    <row r="3" spans="1:24" ht="18.75">
      <c r="A3" s="744" t="s">
        <v>513</v>
      </c>
      <c r="B3" s="744"/>
    </row>
    <row r="4" spans="1:24">
      <c r="A4" s="248" t="s">
        <v>0</v>
      </c>
      <c r="B4" s="265" t="s">
        <v>378</v>
      </c>
      <c r="C4" s="266"/>
      <c r="D4" s="266"/>
      <c r="E4" s="266"/>
      <c r="F4" s="266"/>
      <c r="G4" s="266"/>
      <c r="H4" s="266"/>
      <c r="I4" s="680">
        <f>+B5</f>
        <v>597</v>
      </c>
      <c r="J4" s="680">
        <f>+I4*1.2</f>
        <v>716.4</v>
      </c>
      <c r="K4" s="680">
        <f t="shared" ref="K4:O5" si="0">+J4*1.2</f>
        <v>859.68</v>
      </c>
      <c r="L4" s="680">
        <f t="shared" si="0"/>
        <v>1031.616</v>
      </c>
      <c r="M4" s="680">
        <f t="shared" si="0"/>
        <v>1237.9392</v>
      </c>
      <c r="N4" s="680">
        <f t="shared" si="0"/>
        <v>1485.5270399999999</v>
      </c>
      <c r="O4" s="680">
        <f t="shared" si="0"/>
        <v>1782.6324479999998</v>
      </c>
    </row>
    <row r="5" spans="1:24">
      <c r="A5" s="10" t="s">
        <v>930</v>
      </c>
      <c r="B5" s="245">
        <v>597</v>
      </c>
      <c r="C5" s="267"/>
      <c r="D5" s="268"/>
      <c r="E5" s="268"/>
      <c r="F5" s="268"/>
      <c r="G5" s="268"/>
      <c r="H5" s="268"/>
      <c r="I5" s="680">
        <f>+B6</f>
        <v>800</v>
      </c>
      <c r="J5" s="680">
        <f>+I5*1.2</f>
        <v>960</v>
      </c>
      <c r="K5" s="680">
        <f t="shared" si="0"/>
        <v>1152</v>
      </c>
      <c r="L5" s="680">
        <f t="shared" si="0"/>
        <v>1382.3999999999999</v>
      </c>
      <c r="M5" s="680">
        <f t="shared" si="0"/>
        <v>1658.8799999999999</v>
      </c>
      <c r="N5" s="680">
        <v>1700</v>
      </c>
      <c r="O5" s="680">
        <v>1800</v>
      </c>
    </row>
    <row r="6" spans="1:24">
      <c r="A6" s="10" t="s">
        <v>931</v>
      </c>
      <c r="B6" s="245">
        <v>800</v>
      </c>
      <c r="C6" s="267"/>
      <c r="D6" s="268"/>
      <c r="E6" s="268"/>
      <c r="F6" s="268"/>
      <c r="G6" s="268"/>
      <c r="H6" s="268"/>
    </row>
    <row r="7" spans="1:24">
      <c r="A7" s="2" t="s">
        <v>1</v>
      </c>
      <c r="B7" s="284">
        <f>B5+B6</f>
        <v>1397</v>
      </c>
      <c r="C7" s="269"/>
      <c r="D7" s="270"/>
      <c r="E7" s="270"/>
      <c r="F7" s="270"/>
      <c r="G7" s="270"/>
      <c r="H7" s="270"/>
    </row>
    <row r="8" spans="1:24">
      <c r="A8" s="2" t="s">
        <v>636</v>
      </c>
      <c r="B8" s="283">
        <v>1</v>
      </c>
      <c r="C8" s="269"/>
      <c r="D8" s="269"/>
      <c r="E8" s="269"/>
      <c r="F8" s="269"/>
      <c r="G8" s="269"/>
      <c r="H8" s="269"/>
    </row>
    <row r="9" spans="1:24">
      <c r="A9" s="2" t="s">
        <v>932</v>
      </c>
      <c r="B9" s="284">
        <f>+B7*B8</f>
        <v>1397</v>
      </c>
      <c r="C9" s="270"/>
      <c r="D9" s="270"/>
      <c r="E9" s="270"/>
      <c r="F9" s="270"/>
      <c r="G9" s="270"/>
      <c r="H9" s="270"/>
    </row>
    <row r="11" spans="1:24" ht="18.75">
      <c r="A11" s="703" t="s">
        <v>514</v>
      </c>
      <c r="B11" s="703"/>
      <c r="C11" s="703"/>
      <c r="D11" s="703"/>
      <c r="E11" s="703"/>
      <c r="F11" s="703"/>
      <c r="G11" s="703"/>
      <c r="H11" s="703"/>
      <c r="I11" s="244"/>
      <c r="J11" s="244"/>
      <c r="K11" s="244"/>
      <c r="L11" s="244"/>
      <c r="M11" s="244"/>
      <c r="N11" s="244"/>
      <c r="O11" s="244"/>
      <c r="P11" s="244"/>
    </row>
    <row r="12" spans="1:24">
      <c r="J12" s="3"/>
      <c r="K12" s="262"/>
      <c r="L12" s="262"/>
      <c r="M12" s="262"/>
      <c r="N12" s="262"/>
      <c r="O12" s="3"/>
      <c r="P12" s="3"/>
      <c r="Q12" s="3"/>
      <c r="R12" s="3"/>
      <c r="S12" s="3"/>
      <c r="T12" s="3"/>
      <c r="U12" s="3"/>
      <c r="V12" s="6"/>
      <c r="W12" s="6"/>
      <c r="X12" s="6"/>
    </row>
    <row r="13" spans="1:24" ht="60">
      <c r="A13" s="248" t="s">
        <v>380</v>
      </c>
      <c r="B13" s="248" t="s">
        <v>381</v>
      </c>
      <c r="C13" s="249" t="s">
        <v>432</v>
      </c>
      <c r="D13" s="249" t="s">
        <v>638</v>
      </c>
      <c r="E13" s="249" t="s">
        <v>800</v>
      </c>
      <c r="F13" s="249" t="s">
        <v>801</v>
      </c>
      <c r="G13" s="249" t="s">
        <v>582</v>
      </c>
      <c r="H13" s="249" t="s">
        <v>802</v>
      </c>
      <c r="O13" s="261"/>
      <c r="P13" s="261"/>
      <c r="Q13" s="261"/>
      <c r="R13" s="261"/>
      <c r="S13" s="261"/>
      <c r="T13" s="261"/>
      <c r="U13" s="261"/>
      <c r="V13" s="261"/>
      <c r="W13" s="261"/>
      <c r="X13" s="261"/>
    </row>
    <row r="14" spans="1:24">
      <c r="A14" s="745"/>
      <c r="B14" s="245" t="s">
        <v>881</v>
      </c>
      <c r="C14" s="259">
        <v>7.9535512606378755E-2</v>
      </c>
      <c r="D14" s="540">
        <f>$B$9*C14</f>
        <v>111.11111111111111</v>
      </c>
      <c r="E14" s="246">
        <v>1</v>
      </c>
      <c r="F14" s="540">
        <f>D14*E14</f>
        <v>111.11111111111111</v>
      </c>
      <c r="G14" s="260">
        <v>0.1</v>
      </c>
      <c r="H14" s="622">
        <f>F14*0.9</f>
        <v>100</v>
      </c>
      <c r="I14">
        <v>150</v>
      </c>
      <c r="J14" s="539">
        <f>450+'13.Facility 2 Grain Processing'!B68</f>
        <v>476</v>
      </c>
    </row>
    <row r="15" spans="1:24">
      <c r="A15" s="746"/>
      <c r="B15" s="245" t="s">
        <v>929</v>
      </c>
      <c r="C15" s="259">
        <v>2.6511837535459583E-2</v>
      </c>
      <c r="D15" s="540">
        <f t="shared" ref="D15:D18" si="1">$B$9*C15</f>
        <v>37.037037037037038</v>
      </c>
      <c r="E15" s="246">
        <v>1.5</v>
      </c>
      <c r="F15" s="540">
        <f t="shared" ref="F15:F18" si="2">D15*E15</f>
        <v>55.555555555555557</v>
      </c>
      <c r="G15" s="260">
        <v>0.1</v>
      </c>
      <c r="H15" s="622">
        <f t="shared" ref="H15:H17" si="3">F15*0.9</f>
        <v>50</v>
      </c>
      <c r="I15" s="322">
        <v>100</v>
      </c>
      <c r="J15" s="539">
        <f>450+'13.Facility 2 Grain Processing'!B69</f>
        <v>463</v>
      </c>
    </row>
    <row r="16" spans="1:24">
      <c r="A16" s="746"/>
      <c r="B16" s="245" t="s">
        <v>882</v>
      </c>
      <c r="C16" s="259">
        <v>0.26511837535459581</v>
      </c>
      <c r="D16" s="540">
        <f t="shared" si="1"/>
        <v>370.37037037037038</v>
      </c>
      <c r="E16" s="246">
        <v>1.2</v>
      </c>
      <c r="F16" s="540">
        <f t="shared" si="2"/>
        <v>444.44444444444446</v>
      </c>
      <c r="G16" s="260">
        <v>0.1</v>
      </c>
      <c r="H16" s="622">
        <f t="shared" si="3"/>
        <v>400</v>
      </c>
      <c r="I16">
        <v>550</v>
      </c>
      <c r="J16" s="539">
        <f>450+'13.Facility 2 Grain Processing'!B70</f>
        <v>542</v>
      </c>
    </row>
    <row r="17" spans="1:10">
      <c r="A17" s="282"/>
      <c r="B17" s="281" t="s">
        <v>947</v>
      </c>
      <c r="C17" s="259">
        <v>0.31814205042551497</v>
      </c>
      <c r="D17" s="540">
        <f t="shared" si="1"/>
        <v>444.4444444444444</v>
      </c>
      <c r="E17" s="246">
        <v>3</v>
      </c>
      <c r="F17" s="540">
        <f t="shared" si="2"/>
        <v>1333.3333333333333</v>
      </c>
      <c r="G17" s="260">
        <v>0.1</v>
      </c>
      <c r="H17" s="622">
        <f t="shared" si="3"/>
        <v>1200</v>
      </c>
      <c r="J17" s="539">
        <v>0</v>
      </c>
    </row>
    <row r="18" spans="1:10">
      <c r="A18" s="282" t="s">
        <v>952</v>
      </c>
      <c r="B18" s="281"/>
      <c r="C18" s="259"/>
      <c r="D18" s="540">
        <f t="shared" si="1"/>
        <v>0</v>
      </c>
      <c r="E18" s="246"/>
      <c r="F18" s="540">
        <f t="shared" si="2"/>
        <v>0</v>
      </c>
      <c r="G18" s="260"/>
      <c r="H18" s="622">
        <f>SUM(H14:H17)</f>
        <v>1750</v>
      </c>
      <c r="J18" s="539">
        <f>450+'13.Facility 2 Grain Processing'!B72</f>
        <v>450</v>
      </c>
    </row>
    <row r="19" spans="1:10">
      <c r="A19" s="282" t="s">
        <v>953</v>
      </c>
      <c r="B19" s="281"/>
      <c r="C19" s="245">
        <v>0</v>
      </c>
      <c r="D19" s="540"/>
      <c r="E19" s="246"/>
      <c r="F19" s="10"/>
      <c r="G19" s="260"/>
      <c r="H19" s="10"/>
    </row>
    <row r="20" spans="1:10">
      <c r="A20" s="747" t="s">
        <v>383</v>
      </c>
      <c r="B20" s="747"/>
      <c r="C20" s="747"/>
      <c r="D20" s="747"/>
      <c r="E20" s="747"/>
      <c r="F20" s="747"/>
      <c r="G20" s="747"/>
      <c r="H20" s="747"/>
    </row>
    <row r="22" spans="1:10" ht="18.75">
      <c r="A22" s="748" t="s">
        <v>889</v>
      </c>
      <c r="B22" s="749"/>
      <c r="C22" s="749"/>
      <c r="D22" s="749"/>
      <c r="E22" s="749"/>
      <c r="F22" s="749"/>
      <c r="G22" s="749"/>
      <c r="H22" s="750"/>
    </row>
    <row r="23" spans="1:10">
      <c r="A23" s="751" t="s">
        <v>0</v>
      </c>
      <c r="B23" s="632">
        <v>0.6</v>
      </c>
      <c r="C23" s="632">
        <f>+B23+(C25-B25)/B25</f>
        <v>0.69652038255443283</v>
      </c>
      <c r="D23" s="632">
        <f t="shared" ref="D23:H23" si="4">+C23+(D25-C25)/C25</f>
        <v>0.78454463097704807</v>
      </c>
      <c r="E23" s="632">
        <f t="shared" si="4"/>
        <v>0.86544746797744621</v>
      </c>
      <c r="F23" s="632">
        <f t="shared" si="4"/>
        <v>0.94029493273654574</v>
      </c>
      <c r="G23" s="632">
        <f t="shared" si="4"/>
        <v>1.0099303621468712</v>
      </c>
      <c r="H23" s="632">
        <f t="shared" si="4"/>
        <v>1.0750323842897938</v>
      </c>
    </row>
    <row r="24" spans="1:10">
      <c r="A24" s="752"/>
      <c r="B24" s="265" t="s">
        <v>2</v>
      </c>
      <c r="C24" s="265" t="s">
        <v>3</v>
      </c>
      <c r="D24" s="265" t="s">
        <v>4</v>
      </c>
      <c r="E24" s="265" t="s">
        <v>5</v>
      </c>
      <c r="F24" s="265" t="s">
        <v>6</v>
      </c>
      <c r="G24" s="265" t="s">
        <v>163</v>
      </c>
      <c r="H24" s="265" t="s">
        <v>162</v>
      </c>
    </row>
    <row r="25" spans="1:10">
      <c r="A25" s="10" t="str">
        <f>B14</f>
        <v>Flax seed</v>
      </c>
      <c r="B25" s="540">
        <v>103.45964912280702</v>
      </c>
      <c r="C25" s="540">
        <v>113.44561403508774</v>
      </c>
      <c r="D25" s="540">
        <v>123.43157894736844</v>
      </c>
      <c r="E25" s="540">
        <v>133.41754385964916</v>
      </c>
      <c r="F25" s="540">
        <v>143.40350877192986</v>
      </c>
      <c r="G25" s="540">
        <v>153.38947368421057</v>
      </c>
      <c r="H25" s="540">
        <v>163.37543859649128</v>
      </c>
    </row>
    <row r="26" spans="1:10">
      <c r="A26" s="10" t="str">
        <f>B15</f>
        <v xml:space="preserve">Safflower Seed </v>
      </c>
      <c r="B26" s="540">
        <v>51.729824561403511</v>
      </c>
      <c r="C26" s="540">
        <v>56.722807017543872</v>
      </c>
      <c r="D26" s="540">
        <v>61.715789473684218</v>
      </c>
      <c r="E26" s="540">
        <v>66.708771929824579</v>
      </c>
      <c r="F26" s="540">
        <v>71.701754385964932</v>
      </c>
      <c r="G26" s="540">
        <v>76.694736842105286</v>
      </c>
      <c r="H26" s="540">
        <v>81.687719298245639</v>
      </c>
    </row>
    <row r="27" spans="1:10">
      <c r="A27" s="10" t="str">
        <f>B16</f>
        <v>Mustered Seed</v>
      </c>
      <c r="B27" s="540">
        <v>364.56491228070183</v>
      </c>
      <c r="C27" s="540">
        <v>399.76140350877199</v>
      </c>
      <c r="D27" s="540">
        <v>434.95789473684226</v>
      </c>
      <c r="E27" s="540">
        <v>470.15438596491242</v>
      </c>
      <c r="F27" s="540">
        <v>505.35087719298258</v>
      </c>
      <c r="G27" s="540">
        <v>540.54736842105285</v>
      </c>
      <c r="H27" s="540">
        <v>575.74385964912301</v>
      </c>
    </row>
    <row r="28" spans="1:10">
      <c r="A28" s="10" t="str">
        <f>B17</f>
        <v>Corn</v>
      </c>
      <c r="B28" s="540">
        <v>518.24561403508767</v>
      </c>
      <c r="C28" s="540">
        <v>570.07017543859661</v>
      </c>
      <c r="D28" s="540">
        <v>621.89473684210532</v>
      </c>
      <c r="E28" s="540">
        <v>673.71929824561414</v>
      </c>
      <c r="F28" s="540">
        <v>725.54385964912296</v>
      </c>
      <c r="G28" s="540">
        <v>777.3684210526319</v>
      </c>
      <c r="H28" s="540">
        <v>829.19298245614061</v>
      </c>
    </row>
    <row r="29" spans="1:10">
      <c r="A29" s="10">
        <f>B18</f>
        <v>0</v>
      </c>
      <c r="B29" s="10"/>
      <c r="C29" s="10"/>
      <c r="D29" s="10"/>
      <c r="E29" s="10"/>
      <c r="F29" s="10"/>
      <c r="G29" s="10"/>
      <c r="H29" s="10"/>
    </row>
    <row r="30" spans="1:10">
      <c r="A30" s="323"/>
      <c r="B30" s="324"/>
      <c r="C30" s="324"/>
      <c r="D30" s="324"/>
      <c r="E30" s="324"/>
      <c r="F30" s="324"/>
      <c r="G30" s="324"/>
      <c r="H30" s="325"/>
    </row>
    <row r="31" spans="1:10" ht="18.75">
      <c r="A31" s="737" t="s">
        <v>515</v>
      </c>
      <c r="B31" s="738"/>
      <c r="C31" s="738"/>
      <c r="D31" s="738"/>
      <c r="E31" s="738"/>
      <c r="F31" s="738"/>
      <c r="G31" s="738"/>
      <c r="H31" s="739"/>
    </row>
    <row r="32" spans="1:10">
      <c r="A32" s="740" t="s">
        <v>0</v>
      </c>
      <c r="B32" s="273">
        <v>0.4</v>
      </c>
      <c r="C32" s="632">
        <f>+B32+(C34-B34)/B34</f>
        <v>0.51538461538461544</v>
      </c>
      <c r="D32" s="541">
        <v>0.69090909090909092</v>
      </c>
      <c r="E32" s="541">
        <v>0.77424242424242429</v>
      </c>
      <c r="F32" s="541">
        <v>0.85116550116550127</v>
      </c>
      <c r="G32" s="541">
        <v>0.92259407259407267</v>
      </c>
      <c r="H32" s="541">
        <v>0.98926073926073932</v>
      </c>
    </row>
    <row r="33" spans="1:9">
      <c r="A33" s="741"/>
      <c r="B33" s="265" t="s">
        <v>2</v>
      </c>
      <c r="C33" s="265" t="s">
        <v>3</v>
      </c>
      <c r="D33" s="265" t="s">
        <v>4</v>
      </c>
      <c r="E33" s="265" t="s">
        <v>5</v>
      </c>
      <c r="F33" s="265" t="s">
        <v>6</v>
      </c>
      <c r="G33" s="265" t="s">
        <v>163</v>
      </c>
      <c r="H33" s="265" t="s">
        <v>162</v>
      </c>
    </row>
    <row r="34" spans="1:9" s="13" customFormat="1">
      <c r="A34" s="10" t="str">
        <f>+B14</f>
        <v>Flax seed</v>
      </c>
      <c r="B34" s="540">
        <v>27.368421052631579</v>
      </c>
      <c r="C34" s="540">
        <v>30.526315789473685</v>
      </c>
      <c r="D34" s="540">
        <v>32.631578947368425</v>
      </c>
      <c r="E34" s="540">
        <v>35.789473684210527</v>
      </c>
      <c r="F34" s="540">
        <v>37.894736842105267</v>
      </c>
      <c r="G34" s="540">
        <v>40</v>
      </c>
      <c r="H34" s="540">
        <v>43.15789473684211</v>
      </c>
    </row>
    <row r="35" spans="1:9">
      <c r="A35" s="10" t="str">
        <f>A26</f>
        <v xml:space="preserve">Safflower Seed </v>
      </c>
      <c r="B35" s="540">
        <v>13.684210526315789</v>
      </c>
      <c r="C35" s="540">
        <v>14.736842105263159</v>
      </c>
      <c r="D35" s="540">
        <v>16.842105263157894</v>
      </c>
      <c r="E35" s="540">
        <v>17.894736842105264</v>
      </c>
      <c r="F35" s="540">
        <v>18.947368421052634</v>
      </c>
      <c r="G35" s="540">
        <v>20</v>
      </c>
      <c r="H35" s="540">
        <v>21.05263157894737</v>
      </c>
    </row>
    <row r="36" spans="1:9">
      <c r="A36" s="10" t="str">
        <f t="shared" ref="A36" si="5">A27</f>
        <v>Mustered Seed</v>
      </c>
      <c r="B36" s="540">
        <v>96.842105263157904</v>
      </c>
      <c r="C36" s="540">
        <v>106.31578947368422</v>
      </c>
      <c r="D36" s="540">
        <v>114.73684210526316</v>
      </c>
      <c r="E36" s="540">
        <v>124.21052631578948</v>
      </c>
      <c r="F36" s="540">
        <v>132.63157894736844</v>
      </c>
      <c r="G36" s="540">
        <v>141.05263157894737</v>
      </c>
      <c r="H36" s="540">
        <v>150.5263157894737</v>
      </c>
    </row>
    <row r="37" spans="1:9">
      <c r="A37" s="10" t="s">
        <v>947</v>
      </c>
      <c r="B37" s="540">
        <v>222.10526315789474</v>
      </c>
      <c r="C37" s="540">
        <v>244.42105263157899</v>
      </c>
      <c r="D37" s="540">
        <v>267.78947368421058</v>
      </c>
      <c r="E37" s="540">
        <v>290.10526315789485</v>
      </c>
      <c r="F37" s="540">
        <v>314.52631578947376</v>
      </c>
      <c r="G37" s="540">
        <v>338.94736842105272</v>
      </c>
      <c r="H37" s="540">
        <v>361.26315789473705</v>
      </c>
    </row>
    <row r="38" spans="1:9">
      <c r="A38" s="10"/>
      <c r="B38" s="10"/>
      <c r="C38" s="10"/>
      <c r="D38" s="10"/>
      <c r="E38" s="10"/>
      <c r="F38" s="10"/>
      <c r="G38" s="10"/>
      <c r="H38" s="10"/>
    </row>
    <row r="39" spans="1:9">
      <c r="A39" s="10"/>
      <c r="B39" s="10"/>
      <c r="C39" s="10"/>
      <c r="D39" s="10"/>
      <c r="E39" s="10"/>
      <c r="F39" s="10"/>
      <c r="G39" s="10"/>
      <c r="H39" s="10"/>
    </row>
    <row r="40" spans="1:9">
      <c r="A40" s="323"/>
      <c r="B40" s="324"/>
      <c r="C40" s="324"/>
      <c r="D40" s="324"/>
      <c r="E40" s="324"/>
      <c r="F40" s="324"/>
      <c r="G40" s="324"/>
      <c r="H40" s="325"/>
    </row>
    <row r="41" spans="1:9" ht="18.75">
      <c r="A41" s="737" t="s">
        <v>516</v>
      </c>
      <c r="B41" s="738"/>
      <c r="C41" s="738"/>
      <c r="D41" s="738"/>
      <c r="E41" s="738"/>
      <c r="F41" s="738"/>
      <c r="G41" s="738"/>
      <c r="H41" s="739"/>
    </row>
    <row r="42" spans="1:9">
      <c r="A42" s="742" t="s">
        <v>0</v>
      </c>
      <c r="B42" s="290">
        <v>1</v>
      </c>
      <c r="C42" s="290">
        <v>1</v>
      </c>
      <c r="D42" s="290">
        <v>1</v>
      </c>
      <c r="E42" s="290">
        <v>1</v>
      </c>
      <c r="F42" s="290">
        <v>1</v>
      </c>
      <c r="G42" s="290">
        <v>1</v>
      </c>
      <c r="H42" s="290">
        <v>1</v>
      </c>
    </row>
    <row r="43" spans="1:9">
      <c r="A43" s="743"/>
      <c r="B43" s="265" t="s">
        <v>2</v>
      </c>
      <c r="C43" s="265" t="s">
        <v>3</v>
      </c>
      <c r="D43" s="265" t="s">
        <v>4</v>
      </c>
      <c r="E43" s="265" t="s">
        <v>5</v>
      </c>
      <c r="F43" s="265" t="s">
        <v>6</v>
      </c>
      <c r="G43" s="265" t="s">
        <v>163</v>
      </c>
      <c r="H43" s="265" t="s">
        <v>162</v>
      </c>
    </row>
    <row r="44" spans="1:9" s="13" customFormat="1">
      <c r="A44" s="10"/>
      <c r="B44" s="10"/>
      <c r="C44" s="263"/>
      <c r="D44" s="263"/>
      <c r="E44" s="263"/>
      <c r="F44" s="263"/>
      <c r="G44" s="263"/>
      <c r="H44" s="263"/>
    </row>
    <row r="45" spans="1:9">
      <c r="A45" s="10" t="str">
        <f>A35</f>
        <v xml:space="preserve">Safflower Seed </v>
      </c>
      <c r="B45" s="10">
        <v>0</v>
      </c>
      <c r="C45" s="263">
        <v>0</v>
      </c>
      <c r="D45" s="263">
        <f t="shared" ref="D45:H45" si="6">(C45/C$42)*D$42</f>
        <v>0</v>
      </c>
      <c r="E45" s="263">
        <f t="shared" si="6"/>
        <v>0</v>
      </c>
      <c r="F45" s="263">
        <f t="shared" si="6"/>
        <v>0</v>
      </c>
      <c r="G45" s="263">
        <f t="shared" si="6"/>
        <v>0</v>
      </c>
      <c r="H45" s="263">
        <f t="shared" si="6"/>
        <v>0</v>
      </c>
    </row>
    <row r="47" spans="1:9">
      <c r="C47" s="4"/>
      <c r="D47" s="6"/>
      <c r="E47" s="6"/>
      <c r="F47" s="6"/>
      <c r="G47" s="6"/>
      <c r="H47" s="6"/>
      <c r="I47" s="6"/>
    </row>
    <row r="48" spans="1:9">
      <c r="A48" t="s">
        <v>486</v>
      </c>
      <c r="C48" s="272"/>
      <c r="D48" s="272"/>
      <c r="E48" s="272"/>
      <c r="F48" s="272"/>
      <c r="G48" s="272"/>
      <c r="H48" s="272"/>
      <c r="I48" s="272"/>
    </row>
    <row r="49" spans="1:2">
      <c r="A49">
        <v>1</v>
      </c>
      <c r="B49" t="s">
        <v>487</v>
      </c>
    </row>
    <row r="50" spans="1:2">
      <c r="A50">
        <v>2</v>
      </c>
      <c r="B50" t="s">
        <v>488</v>
      </c>
    </row>
    <row r="51" spans="1:2">
      <c r="A51">
        <v>3</v>
      </c>
      <c r="B51" t="s">
        <v>489</v>
      </c>
    </row>
  </sheetData>
  <mergeCells count="11">
    <mergeCell ref="A41:H41"/>
    <mergeCell ref="A42:A43"/>
    <mergeCell ref="A3:B3"/>
    <mergeCell ref="A11:H11"/>
    <mergeCell ref="A20:H20"/>
    <mergeCell ref="A14:A16"/>
    <mergeCell ref="A1:H1"/>
    <mergeCell ref="A22:H22"/>
    <mergeCell ref="A23:A24"/>
    <mergeCell ref="A31:H31"/>
    <mergeCell ref="A32:A33"/>
  </mergeCells>
  <pageMargins left="0.7" right="0.7" top="0.75" bottom="0.75" header="0.3" footer="0.3"/>
  <pageSetup scale="95" fitToHeight="0" orientation="landscape" horizontalDpi="4294967293" r:id="rId1"/>
  <rowBreaks count="1" manualBreakCount="1">
    <brk id="30" max="7"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T313"/>
  <sheetViews>
    <sheetView view="pageBreakPreview" zoomScale="70" zoomScaleSheetLayoutView="70" workbookViewId="0">
      <selection activeCell="G168" sqref="G168"/>
    </sheetView>
  </sheetViews>
  <sheetFormatPr defaultRowHeight="15"/>
  <cols>
    <col min="1" max="1" width="42.42578125" bestFit="1" customWidth="1"/>
    <col min="2" max="2" width="23.42578125" customWidth="1"/>
    <col min="3" max="3" width="11.85546875" customWidth="1"/>
    <col min="4" max="5" width="15.85546875" bestFit="1" customWidth="1"/>
    <col min="6" max="6" width="18.140625" bestFit="1" customWidth="1"/>
    <col min="7" max="10" width="15.85546875" bestFit="1" customWidth="1"/>
    <col min="11" max="11" width="10.5703125" bestFit="1" customWidth="1"/>
    <col min="13" max="13" width="22.85546875" bestFit="1" customWidth="1"/>
    <col min="14" max="14" width="12.85546875" bestFit="1" customWidth="1"/>
  </cols>
  <sheetData>
    <row r="2" spans="1:8" ht="18.75">
      <c r="A2" s="703" t="s">
        <v>521</v>
      </c>
      <c r="B2" s="703"/>
      <c r="C2" s="703"/>
      <c r="D2" s="703"/>
      <c r="E2" s="703"/>
      <c r="F2" s="703"/>
      <c r="G2" s="703"/>
      <c r="H2" s="703"/>
    </row>
    <row r="3" spans="1:8" ht="18.75">
      <c r="A3" s="703" t="s">
        <v>522</v>
      </c>
      <c r="B3" s="703"/>
      <c r="C3" s="703"/>
      <c r="D3" s="703"/>
      <c r="E3" s="703"/>
      <c r="F3" s="703"/>
      <c r="G3" s="703"/>
      <c r="H3" s="703"/>
    </row>
    <row r="4" spans="1:8">
      <c r="B4" s="79"/>
      <c r="C4" s="79"/>
      <c r="D4" s="79"/>
      <c r="E4" s="79"/>
      <c r="F4" s="704" t="s">
        <v>451</v>
      </c>
      <c r="G4" s="704"/>
      <c r="H4" s="704"/>
    </row>
    <row r="5" spans="1:8">
      <c r="A5" s="79" t="s">
        <v>156</v>
      </c>
      <c r="B5" s="207">
        <f>(2*1000)/100</f>
        <v>20</v>
      </c>
      <c r="C5" s="79" t="s">
        <v>434</v>
      </c>
      <c r="D5" s="79"/>
      <c r="E5" s="79"/>
      <c r="F5" s="248" t="s">
        <v>452</v>
      </c>
      <c r="G5" s="248" t="s">
        <v>453</v>
      </c>
      <c r="H5" s="79"/>
    </row>
    <row r="6" spans="1:8">
      <c r="A6" s="79" t="s">
        <v>157</v>
      </c>
      <c r="B6" s="239">
        <v>8</v>
      </c>
      <c r="C6" s="79"/>
      <c r="D6" s="79"/>
      <c r="E6" s="79"/>
      <c r="F6" s="10" t="s">
        <v>449</v>
      </c>
      <c r="G6" s="278">
        <v>0.03</v>
      </c>
      <c r="H6" s="79"/>
    </row>
    <row r="7" spans="1:8">
      <c r="A7" s="79"/>
      <c r="B7" s="79"/>
      <c r="C7" s="79"/>
      <c r="D7" s="79"/>
      <c r="E7" s="79"/>
      <c r="F7" s="10" t="s">
        <v>450</v>
      </c>
      <c r="G7" s="278">
        <v>0.05</v>
      </c>
      <c r="H7" s="79"/>
    </row>
    <row r="8" spans="1:8">
      <c r="A8" s="79" t="s">
        <v>474</v>
      </c>
      <c r="B8" s="79">
        <v>300</v>
      </c>
      <c r="C8" s="79"/>
      <c r="D8" s="79"/>
      <c r="E8" s="79"/>
      <c r="F8" s="10"/>
      <c r="G8" s="278"/>
      <c r="H8" s="79"/>
    </row>
    <row r="9" spans="1:8">
      <c r="A9" s="123" t="s">
        <v>0</v>
      </c>
      <c r="B9" s="103" t="s">
        <v>2</v>
      </c>
      <c r="C9" s="103" t="s">
        <v>3</v>
      </c>
      <c r="D9" s="103" t="s">
        <v>4</v>
      </c>
      <c r="E9" s="103" t="s">
        <v>5</v>
      </c>
      <c r="F9" s="103" t="s">
        <v>6</v>
      </c>
      <c r="G9" s="103" t="s">
        <v>163</v>
      </c>
      <c r="H9" s="103" t="s">
        <v>162</v>
      </c>
    </row>
    <row r="10" spans="1:8">
      <c r="A10" s="80" t="s">
        <v>433</v>
      </c>
      <c r="B10" s="257">
        <f>B33/($B$5*$B$6)</f>
        <v>6.2500000000000003E-3</v>
      </c>
      <c r="C10" s="257">
        <f t="shared" ref="C10:H10" si="0">C33/($B$5*$B$6)</f>
        <v>6.2500000000000003E-3</v>
      </c>
      <c r="D10" s="257">
        <f t="shared" si="0"/>
        <v>6.2500000000000003E-3</v>
      </c>
      <c r="E10" s="257">
        <f t="shared" si="0"/>
        <v>6.2500000000000003E-3</v>
      </c>
      <c r="F10" s="257">
        <f t="shared" si="0"/>
        <v>6.2500000000000003E-3</v>
      </c>
      <c r="G10" s="257">
        <f t="shared" si="0"/>
        <v>6.2500000000000003E-3</v>
      </c>
      <c r="H10" s="257">
        <f t="shared" si="0"/>
        <v>6.2500000000000003E-3</v>
      </c>
    </row>
    <row r="11" spans="1:8">
      <c r="A11" s="164" t="str">
        <f>'11.F&amp;V Crop Production details'!A42</f>
        <v>Particulars</v>
      </c>
      <c r="B11" s="164">
        <f>'11.F&amp;V Crop Production details'!B42</f>
        <v>1</v>
      </c>
      <c r="C11" s="164">
        <f>'11.F&amp;V Crop Production details'!C42</f>
        <v>1</v>
      </c>
      <c r="D11" s="164">
        <f>'11.F&amp;V Crop Production details'!D42</f>
        <v>1</v>
      </c>
      <c r="E11" s="164">
        <f>'11.F&amp;V Crop Production details'!E42</f>
        <v>1</v>
      </c>
      <c r="F11" s="164">
        <f>'11.F&amp;V Crop Production details'!F42</f>
        <v>1</v>
      </c>
      <c r="G11" s="164">
        <f>'11.F&amp;V Crop Production details'!G42</f>
        <v>1</v>
      </c>
      <c r="H11" s="164">
        <f>'11.F&amp;V Crop Production details'!H42</f>
        <v>1</v>
      </c>
    </row>
    <row r="12" spans="1:8">
      <c r="A12" s="164">
        <f>'11.F&amp;V Crop Production details'!A43</f>
        <v>0</v>
      </c>
      <c r="B12" s="164" t="str">
        <f>'11.F&amp;V Crop Production details'!B43</f>
        <v>Y1</v>
      </c>
      <c r="C12" s="164" t="str">
        <f>'11.F&amp;V Crop Production details'!C43</f>
        <v>Y2</v>
      </c>
      <c r="D12" s="164" t="str">
        <f>'11.F&amp;V Crop Production details'!D43</f>
        <v>Y3</v>
      </c>
      <c r="E12" s="164" t="str">
        <f>'11.F&amp;V Crop Production details'!E43</f>
        <v>Y4</v>
      </c>
      <c r="F12" s="164" t="str">
        <f>'11.F&amp;V Crop Production details'!F43</f>
        <v>Y5</v>
      </c>
      <c r="G12" s="164" t="str">
        <f>'11.F&amp;V Crop Production details'!G43</f>
        <v>Y6</v>
      </c>
      <c r="H12" s="164" t="str">
        <f>'11.F&amp;V Crop Production details'!H43</f>
        <v>Y7</v>
      </c>
    </row>
    <row r="13" spans="1:8">
      <c r="A13" s="164">
        <f>'11.F&amp;V Crop Production details'!A44</f>
        <v>0</v>
      </c>
      <c r="B13" s="164">
        <f>'11.F&amp;V Crop Production details'!B44</f>
        <v>0</v>
      </c>
      <c r="C13" s="164">
        <f>'11.F&amp;V Crop Production details'!C44</f>
        <v>0</v>
      </c>
      <c r="D13" s="164">
        <f>'11.F&amp;V Crop Production details'!D44</f>
        <v>0</v>
      </c>
      <c r="E13" s="164">
        <f>'11.F&amp;V Crop Production details'!E44</f>
        <v>0</v>
      </c>
      <c r="F13" s="164">
        <f>'11.F&amp;V Crop Production details'!F44</f>
        <v>0</v>
      </c>
      <c r="G13" s="164">
        <f>'11.F&amp;V Crop Production details'!G44</f>
        <v>0</v>
      </c>
      <c r="H13" s="164">
        <f>'11.F&amp;V Crop Production details'!H44</f>
        <v>0</v>
      </c>
    </row>
    <row r="14" spans="1:8">
      <c r="A14" s="164" t="str">
        <f>'11.F&amp;V Crop Production details'!A45</f>
        <v>Chilli</v>
      </c>
      <c r="B14" s="164">
        <f>'11.F&amp;V Crop Production details'!B45</f>
        <v>0</v>
      </c>
      <c r="C14" s="164">
        <f>'11.F&amp;V Crop Production details'!C45</f>
        <v>0</v>
      </c>
      <c r="D14" s="164">
        <f>'11.F&amp;V Crop Production details'!D45</f>
        <v>0</v>
      </c>
      <c r="E14" s="164">
        <f>'11.F&amp;V Crop Production details'!E45</f>
        <v>0</v>
      </c>
      <c r="F14" s="164">
        <f>'11.F&amp;V Crop Production details'!F45</f>
        <v>0</v>
      </c>
      <c r="G14" s="164">
        <f>'11.F&amp;V Crop Production details'!G45</f>
        <v>0</v>
      </c>
      <c r="H14" s="164">
        <f>'11.F&amp;V Crop Production details'!H45</f>
        <v>0</v>
      </c>
    </row>
    <row r="15" spans="1:8">
      <c r="A15" s="164">
        <f>'11.F&amp;V Crop Production details'!A46</f>
        <v>0</v>
      </c>
      <c r="B15" s="164">
        <f>'11.F&amp;V Crop Production details'!B46</f>
        <v>0</v>
      </c>
      <c r="C15" s="164">
        <f>'11.F&amp;V Crop Production details'!C46</f>
        <v>0</v>
      </c>
      <c r="D15" s="164">
        <f>'11.F&amp;V Crop Production details'!D46</f>
        <v>0</v>
      </c>
      <c r="E15" s="164">
        <f>'11.F&amp;V Crop Production details'!E46</f>
        <v>0</v>
      </c>
      <c r="F15" s="164">
        <f>'11.F&amp;V Crop Production details'!F46</f>
        <v>0</v>
      </c>
      <c r="G15" s="164">
        <f>'11.F&amp;V Crop Production details'!G46</f>
        <v>0</v>
      </c>
      <c r="H15" s="164">
        <f>'11.F&amp;V Crop Production details'!H46</f>
        <v>0</v>
      </c>
    </row>
    <row r="16" spans="1:8">
      <c r="A16" s="164">
        <f>'11.F&amp;V Crop Production details'!A47</f>
        <v>0</v>
      </c>
      <c r="B16" s="164">
        <f>'11.F&amp;V Crop Production details'!B47</f>
        <v>0</v>
      </c>
      <c r="C16" s="164">
        <f>'11.F&amp;V Crop Production details'!C47</f>
        <v>0</v>
      </c>
      <c r="D16" s="164">
        <f>'11.F&amp;V Crop Production details'!D47</f>
        <v>0</v>
      </c>
      <c r="E16" s="164">
        <f>'11.F&amp;V Crop Production details'!E47</f>
        <v>0</v>
      </c>
      <c r="F16" s="164">
        <f>'11.F&amp;V Crop Production details'!F47</f>
        <v>0</v>
      </c>
      <c r="G16" s="164">
        <f>'11.F&amp;V Crop Production details'!G47</f>
        <v>0</v>
      </c>
      <c r="H16" s="164">
        <f>'11.F&amp;V Crop Production details'!H47</f>
        <v>0</v>
      </c>
    </row>
    <row r="17" spans="1:8">
      <c r="A17" s="164" t="str">
        <f>'11.F&amp;V Crop Production details'!A48</f>
        <v>Assumptions:</v>
      </c>
      <c r="B17" s="164">
        <f>'11.F&amp;V Crop Production details'!B48</f>
        <v>0</v>
      </c>
      <c r="C17" s="164">
        <f>'11.F&amp;V Crop Production details'!C48</f>
        <v>0</v>
      </c>
      <c r="D17" s="164">
        <f>'11.F&amp;V Crop Production details'!D48</f>
        <v>0</v>
      </c>
      <c r="E17" s="164">
        <f>'11.F&amp;V Crop Production details'!E48</f>
        <v>0</v>
      </c>
      <c r="F17" s="164">
        <f>'11.F&amp;V Crop Production details'!F48</f>
        <v>0</v>
      </c>
      <c r="G17" s="164">
        <f>'11.F&amp;V Crop Production details'!G48</f>
        <v>0</v>
      </c>
      <c r="H17" s="164">
        <f>'11.F&amp;V Crop Production details'!H48</f>
        <v>0</v>
      </c>
    </row>
    <row r="18" spans="1:8">
      <c r="A18" s="164">
        <f>'11.F&amp;V Crop Production details'!A49</f>
        <v>1</v>
      </c>
      <c r="B18" s="164" t="str">
        <f>'11.F&amp;V Crop Production details'!B49</f>
        <v>35% of total produce of the cluster will be trade in first year and it will increase everyear year by 5 %</v>
      </c>
      <c r="C18" s="164">
        <f>'11.F&amp;V Crop Production details'!C49</f>
        <v>0</v>
      </c>
      <c r="D18" s="164">
        <f>'11.F&amp;V Crop Production details'!D49</f>
        <v>0</v>
      </c>
      <c r="E18" s="164">
        <f>'11.F&amp;V Crop Production details'!E49</f>
        <v>0</v>
      </c>
      <c r="F18" s="164">
        <f>'11.F&amp;V Crop Production details'!F49</f>
        <v>0</v>
      </c>
      <c r="G18" s="164">
        <f>'11.F&amp;V Crop Production details'!G49</f>
        <v>0</v>
      </c>
      <c r="H18" s="164">
        <f>'11.F&amp;V Crop Production details'!H49</f>
        <v>0</v>
      </c>
    </row>
    <row r="19" spans="1:8">
      <c r="A19" s="164">
        <f>'11.F&amp;V Crop Production details'!A50</f>
        <v>2</v>
      </c>
      <c r="B19" s="164" t="str">
        <f>'11.F&amp;V Crop Production details'!B50</f>
        <v>5% of total produce of the cluster will be Process in first year and it will increase everyear year by 5 %</v>
      </c>
      <c r="C19" s="164">
        <f>'11.F&amp;V Crop Production details'!C50</f>
        <v>0</v>
      </c>
      <c r="D19" s="164">
        <f>'11.F&amp;V Crop Production details'!D50</f>
        <v>0</v>
      </c>
      <c r="E19" s="164">
        <f>'11.F&amp;V Crop Production details'!E50</f>
        <v>0</v>
      </c>
      <c r="F19" s="164">
        <f>'11.F&amp;V Crop Production details'!F50</f>
        <v>0</v>
      </c>
      <c r="G19" s="164">
        <f>'11.F&amp;V Crop Production details'!G50</f>
        <v>0</v>
      </c>
      <c r="H19" s="164">
        <f>'11.F&amp;V Crop Production details'!H50</f>
        <v>0</v>
      </c>
    </row>
    <row r="20" spans="1:8">
      <c r="A20" s="164">
        <f>'11.F&amp;V Crop Production details'!A51</f>
        <v>3</v>
      </c>
      <c r="B20" s="164" t="str">
        <f>'11.F&amp;V Crop Production details'!B51</f>
        <v xml:space="preserve">65% of total land of members is considered for Agri input service centre business </v>
      </c>
      <c r="C20" s="164">
        <f>'11.F&amp;V Crop Production details'!C51</f>
        <v>0</v>
      </c>
      <c r="D20" s="164">
        <f>'11.F&amp;V Crop Production details'!D51</f>
        <v>0</v>
      </c>
      <c r="E20" s="164">
        <f>'11.F&amp;V Crop Production details'!E51</f>
        <v>0</v>
      </c>
      <c r="F20" s="164">
        <f>'11.F&amp;V Crop Production details'!F51</f>
        <v>0</v>
      </c>
      <c r="G20" s="164">
        <f>'11.F&amp;V Crop Production details'!G51</f>
        <v>0</v>
      </c>
      <c r="H20" s="164">
        <f>'11.F&amp;V Crop Production details'!H51</f>
        <v>0</v>
      </c>
    </row>
    <row r="21" spans="1:8">
      <c r="A21" s="164">
        <f>'11.F&amp;V Crop Production details'!A52</f>
        <v>0</v>
      </c>
      <c r="B21" s="164">
        <f>'11.F&amp;V Crop Production details'!B52</f>
        <v>0</v>
      </c>
      <c r="C21" s="164">
        <f>'11.F&amp;V Crop Production details'!C52</f>
        <v>0</v>
      </c>
      <c r="D21" s="164">
        <f>'11.F&amp;V Crop Production details'!D52</f>
        <v>0</v>
      </c>
      <c r="E21" s="164">
        <f>'11.F&amp;V Crop Production details'!E52</f>
        <v>0</v>
      </c>
      <c r="F21" s="164">
        <f>'11.F&amp;V Crop Production details'!F52</f>
        <v>0</v>
      </c>
      <c r="G21" s="164">
        <f>'11.F&amp;V Crop Production details'!G52</f>
        <v>0</v>
      </c>
      <c r="H21" s="164">
        <f>'11.F&amp;V Crop Production details'!H52</f>
        <v>0</v>
      </c>
    </row>
    <row r="22" spans="1:8">
      <c r="A22" s="164">
        <f>'11.F&amp;V Crop Production details'!A53</f>
        <v>0</v>
      </c>
      <c r="B22" s="164">
        <f>'11.F&amp;V Crop Production details'!B53</f>
        <v>0</v>
      </c>
      <c r="C22" s="164">
        <f>'11.F&amp;V Crop Production details'!C53</f>
        <v>0</v>
      </c>
      <c r="D22" s="164">
        <f>'11.F&amp;V Crop Production details'!D53</f>
        <v>0</v>
      </c>
      <c r="E22" s="164">
        <f>'11.F&amp;V Crop Production details'!E53</f>
        <v>0</v>
      </c>
      <c r="F22" s="164">
        <f>'11.F&amp;V Crop Production details'!F53</f>
        <v>0</v>
      </c>
      <c r="G22" s="164">
        <f>'11.F&amp;V Crop Production details'!G53</f>
        <v>0</v>
      </c>
      <c r="H22" s="164">
        <f>'11.F&amp;V Crop Production details'!H53</f>
        <v>0</v>
      </c>
    </row>
    <row r="23" spans="1:8">
      <c r="A23" s="164">
        <f>'11.F&amp;V Crop Production details'!A54</f>
        <v>0</v>
      </c>
      <c r="B23" s="164">
        <f>'11.F&amp;V Crop Production details'!B54</f>
        <v>0</v>
      </c>
      <c r="C23" s="164">
        <f>'11.F&amp;V Crop Production details'!C54</f>
        <v>0</v>
      </c>
      <c r="D23" s="164">
        <f>'11.F&amp;V Crop Production details'!D54</f>
        <v>0</v>
      </c>
      <c r="E23" s="164">
        <f>'11.F&amp;V Crop Production details'!E54</f>
        <v>0</v>
      </c>
      <c r="F23" s="164">
        <f>'11.F&amp;V Crop Production details'!F54</f>
        <v>0</v>
      </c>
      <c r="G23" s="164">
        <f>'11.F&amp;V Crop Production details'!G54</f>
        <v>0</v>
      </c>
      <c r="H23" s="164">
        <f>'11.F&amp;V Crop Production details'!H54</f>
        <v>0</v>
      </c>
    </row>
    <row r="24" spans="1:8">
      <c r="A24" s="164">
        <f>'11.F&amp;V Crop Production details'!A55</f>
        <v>0</v>
      </c>
      <c r="B24" s="164">
        <f>'11.F&amp;V Crop Production details'!B55</f>
        <v>0</v>
      </c>
      <c r="C24" s="164">
        <f>'11.F&amp;V Crop Production details'!C55</f>
        <v>0</v>
      </c>
      <c r="D24" s="164">
        <f>'11.F&amp;V Crop Production details'!D55</f>
        <v>0</v>
      </c>
      <c r="E24" s="164">
        <f>'11.F&amp;V Crop Production details'!E55</f>
        <v>0</v>
      </c>
      <c r="F24" s="164">
        <f>'11.F&amp;V Crop Production details'!F55</f>
        <v>0</v>
      </c>
      <c r="G24" s="164">
        <f>'11.F&amp;V Crop Production details'!G55</f>
        <v>0</v>
      </c>
      <c r="H24" s="164">
        <f>'11.F&amp;V Crop Production details'!H55</f>
        <v>0</v>
      </c>
    </row>
    <row r="25" spans="1:8">
      <c r="A25" s="164">
        <f>'11.F&amp;V Crop Production details'!A56</f>
        <v>0</v>
      </c>
      <c r="B25" s="164">
        <f>'11.F&amp;V Crop Production details'!B56</f>
        <v>0</v>
      </c>
      <c r="C25" s="164">
        <f>'11.F&amp;V Crop Production details'!C56</f>
        <v>0</v>
      </c>
      <c r="D25" s="164">
        <f>'11.F&amp;V Crop Production details'!D56</f>
        <v>0</v>
      </c>
      <c r="E25" s="164">
        <f>'11.F&amp;V Crop Production details'!E56</f>
        <v>0</v>
      </c>
      <c r="F25" s="164">
        <f>'11.F&amp;V Crop Production details'!F56</f>
        <v>0</v>
      </c>
      <c r="G25" s="164">
        <f>'11.F&amp;V Crop Production details'!G56</f>
        <v>0</v>
      </c>
      <c r="H25" s="164">
        <f>'11.F&amp;V Crop Production details'!H56</f>
        <v>0</v>
      </c>
    </row>
    <row r="26" spans="1:8">
      <c r="A26" s="164">
        <f>'11.F&amp;V Crop Production details'!A57</f>
        <v>0</v>
      </c>
      <c r="B26" s="164">
        <f>'11.F&amp;V Crop Production details'!B57</f>
        <v>0</v>
      </c>
      <c r="C26" s="164">
        <f>'11.F&amp;V Crop Production details'!C57</f>
        <v>0</v>
      </c>
      <c r="D26" s="164">
        <f>'11.F&amp;V Crop Production details'!D57</f>
        <v>0</v>
      </c>
      <c r="E26" s="164">
        <f>'11.F&amp;V Crop Production details'!E57</f>
        <v>0</v>
      </c>
      <c r="F26" s="164">
        <f>'11.F&amp;V Crop Production details'!F57</f>
        <v>0</v>
      </c>
      <c r="G26" s="164">
        <f>'11.F&amp;V Crop Production details'!G57</f>
        <v>0</v>
      </c>
      <c r="H26" s="164">
        <f>'11.F&amp;V Crop Production details'!H57</f>
        <v>0</v>
      </c>
    </row>
    <row r="27" spans="1:8">
      <c r="A27" s="164">
        <f>'11.F&amp;V Crop Production details'!A58</f>
        <v>0</v>
      </c>
      <c r="B27" s="164">
        <f>'11.F&amp;V Crop Production details'!B58</f>
        <v>0</v>
      </c>
      <c r="C27" s="164">
        <f>'11.F&amp;V Crop Production details'!C58</f>
        <v>0</v>
      </c>
      <c r="D27" s="164">
        <f>'11.F&amp;V Crop Production details'!D58</f>
        <v>0</v>
      </c>
      <c r="E27" s="164">
        <f>'11.F&amp;V Crop Production details'!E58</f>
        <v>0</v>
      </c>
      <c r="F27" s="164">
        <f>'11.F&amp;V Crop Production details'!F58</f>
        <v>0</v>
      </c>
      <c r="G27" s="164">
        <f>'11.F&amp;V Crop Production details'!G58</f>
        <v>0</v>
      </c>
      <c r="H27" s="164">
        <f>'11.F&amp;V Crop Production details'!H58</f>
        <v>0</v>
      </c>
    </row>
    <row r="28" spans="1:8">
      <c r="A28" s="164">
        <f>'11.F&amp;V Crop Production details'!A59</f>
        <v>0</v>
      </c>
      <c r="B28" s="164">
        <f>'11.F&amp;V Crop Production details'!B59</f>
        <v>0</v>
      </c>
      <c r="C28" s="164">
        <f>'11.F&amp;V Crop Production details'!C59</f>
        <v>0</v>
      </c>
      <c r="D28" s="164">
        <f>'11.F&amp;V Crop Production details'!D59</f>
        <v>0</v>
      </c>
      <c r="E28" s="164">
        <f>'11.F&amp;V Crop Production details'!E59</f>
        <v>0</v>
      </c>
      <c r="F28" s="164">
        <f>'11.F&amp;V Crop Production details'!F59</f>
        <v>0</v>
      </c>
      <c r="G28" s="164">
        <f>'11.F&amp;V Crop Production details'!G59</f>
        <v>0</v>
      </c>
      <c r="H28" s="164">
        <f>'11.F&amp;V Crop Production details'!H59</f>
        <v>0</v>
      </c>
    </row>
    <row r="29" spans="1:8">
      <c r="A29" s="164">
        <f>'11.F&amp;V Crop Production details'!A60</f>
        <v>0</v>
      </c>
      <c r="B29" s="164">
        <f>'11.F&amp;V Crop Production details'!B60</f>
        <v>0</v>
      </c>
      <c r="C29" s="164">
        <f>'11.F&amp;V Crop Production details'!C60</f>
        <v>0</v>
      </c>
      <c r="D29" s="164">
        <f>'11.F&amp;V Crop Production details'!D60</f>
        <v>0</v>
      </c>
      <c r="E29" s="164">
        <f>'11.F&amp;V Crop Production details'!E60</f>
        <v>0</v>
      </c>
      <c r="F29" s="164">
        <f>'11.F&amp;V Crop Production details'!F60</f>
        <v>0</v>
      </c>
      <c r="G29" s="164">
        <f>'11.F&amp;V Crop Production details'!G60</f>
        <v>0</v>
      </c>
      <c r="H29" s="164">
        <f>'11.F&amp;V Crop Production details'!H60</f>
        <v>0</v>
      </c>
    </row>
    <row r="30" spans="1:8">
      <c r="A30" s="164">
        <f>'11.F&amp;V Crop Production details'!A61</f>
        <v>0</v>
      </c>
      <c r="B30" s="164">
        <f>'11.F&amp;V Crop Production details'!B61</f>
        <v>0</v>
      </c>
      <c r="C30" s="164">
        <f>'11.F&amp;V Crop Production details'!C61</f>
        <v>0</v>
      </c>
      <c r="D30" s="164">
        <f>'11.F&amp;V Crop Production details'!D61</f>
        <v>0</v>
      </c>
      <c r="E30" s="164">
        <f>'11.F&amp;V Crop Production details'!E61</f>
        <v>0</v>
      </c>
      <c r="F30" s="164">
        <f>'11.F&amp;V Crop Production details'!F61</f>
        <v>0</v>
      </c>
      <c r="G30" s="164">
        <f>'11.F&amp;V Crop Production details'!G61</f>
        <v>0</v>
      </c>
      <c r="H30" s="164">
        <f>'11.F&amp;V Crop Production details'!H61</f>
        <v>0</v>
      </c>
    </row>
    <row r="31" spans="1:8">
      <c r="A31" s="164">
        <f>'11.F&amp;V Crop Production details'!A62</f>
        <v>0</v>
      </c>
      <c r="B31" s="164">
        <f>'11.F&amp;V Crop Production details'!B62</f>
        <v>0</v>
      </c>
      <c r="C31" s="164">
        <f>'11.F&amp;V Crop Production details'!C62</f>
        <v>0</v>
      </c>
      <c r="D31" s="164">
        <f>'11.F&amp;V Crop Production details'!D62</f>
        <v>0</v>
      </c>
      <c r="E31" s="164">
        <f>'11.F&amp;V Crop Production details'!E62</f>
        <v>0</v>
      </c>
      <c r="F31" s="164">
        <f>'11.F&amp;V Crop Production details'!F62</f>
        <v>0</v>
      </c>
      <c r="G31" s="164">
        <f>'11.F&amp;V Crop Production details'!G62</f>
        <v>0</v>
      </c>
      <c r="H31" s="164">
        <f>'11.F&amp;V Crop Production details'!H62</f>
        <v>0</v>
      </c>
    </row>
    <row r="32" spans="1:8">
      <c r="A32" s="164">
        <f>'11.F&amp;V Crop Production details'!B63</f>
        <v>0</v>
      </c>
      <c r="B32" s="164">
        <f>'11.F&amp;V Crop Production details'!C63</f>
        <v>0</v>
      </c>
      <c r="C32" s="164">
        <f>'11.F&amp;V Crop Production details'!D63</f>
        <v>0</v>
      </c>
      <c r="D32" s="164">
        <f>'11.F&amp;V Crop Production details'!E63</f>
        <v>0</v>
      </c>
      <c r="E32" s="164">
        <f>'11.F&amp;V Crop Production details'!F63</f>
        <v>0</v>
      </c>
      <c r="F32" s="164">
        <f>'11.F&amp;V Crop Production details'!G63</f>
        <v>0</v>
      </c>
      <c r="G32" s="164">
        <f>'11.F&amp;V Crop Production details'!H63</f>
        <v>0</v>
      </c>
      <c r="H32" s="164">
        <f>'11.F&amp;V Crop Production details'!I63</f>
        <v>0</v>
      </c>
    </row>
    <row r="33" spans="1:8">
      <c r="A33" s="82" t="s">
        <v>471</v>
      </c>
      <c r="B33" s="164">
        <f t="shared" ref="B33:H33" si="1">SUM(B11:B32)</f>
        <v>1</v>
      </c>
      <c r="C33" s="164">
        <f t="shared" si="1"/>
        <v>1</v>
      </c>
      <c r="D33" s="164">
        <f t="shared" si="1"/>
        <v>1</v>
      </c>
      <c r="E33" s="164">
        <f t="shared" si="1"/>
        <v>1</v>
      </c>
      <c r="F33" s="164">
        <f t="shared" si="1"/>
        <v>1</v>
      </c>
      <c r="G33" s="164">
        <f t="shared" si="1"/>
        <v>1</v>
      </c>
      <c r="H33" s="164">
        <f t="shared" si="1"/>
        <v>1</v>
      </c>
    </row>
    <row r="34" spans="1:8">
      <c r="A34" s="164" t="str">
        <f>'10.Grain Production details'!A1:H1</f>
        <v>Grains Crops and  Production Details</v>
      </c>
      <c r="B34" s="164"/>
      <c r="C34" s="164"/>
      <c r="D34" s="164"/>
      <c r="E34" s="164"/>
      <c r="F34" s="164"/>
      <c r="G34" s="164"/>
      <c r="H34" s="164"/>
    </row>
    <row r="35" spans="1:8">
      <c r="A35" s="164" t="str">
        <f>'10.Grain Production details'!A25</f>
        <v>Flax seed</v>
      </c>
      <c r="B35" s="164">
        <f>'10.Grain Production details'!B25</f>
        <v>103.45964912280702</v>
      </c>
      <c r="C35" s="164">
        <f>'10.Grain Production details'!C25</f>
        <v>113.44561403508774</v>
      </c>
      <c r="D35" s="164">
        <f>'10.Grain Production details'!D25</f>
        <v>123.43157894736844</v>
      </c>
      <c r="E35" s="164">
        <f>'10.Grain Production details'!E25</f>
        <v>133.41754385964916</v>
      </c>
      <c r="F35" s="164">
        <f>'10.Grain Production details'!F25</f>
        <v>143.40350877192986</v>
      </c>
      <c r="G35" s="164">
        <f>'10.Grain Production details'!G25</f>
        <v>153.38947368421057</v>
      </c>
      <c r="H35" s="164">
        <f>'10.Grain Production details'!H25</f>
        <v>163.37543859649128</v>
      </c>
    </row>
    <row r="36" spans="1:8">
      <c r="A36" s="164" t="e">
        <f>'10.Grain Production details'!#REF!</f>
        <v>#REF!</v>
      </c>
      <c r="B36" s="164" t="e">
        <f>'10.Grain Production details'!#REF!</f>
        <v>#REF!</v>
      </c>
      <c r="C36" s="164" t="e">
        <f>'10.Grain Production details'!#REF!</f>
        <v>#REF!</v>
      </c>
      <c r="D36" s="164" t="e">
        <f>'10.Grain Production details'!#REF!</f>
        <v>#REF!</v>
      </c>
      <c r="E36" s="164" t="e">
        <f>'10.Grain Production details'!#REF!</f>
        <v>#REF!</v>
      </c>
      <c r="F36" s="164" t="e">
        <f>'10.Grain Production details'!#REF!</f>
        <v>#REF!</v>
      </c>
      <c r="G36" s="164" t="e">
        <f>'10.Grain Production details'!#REF!</f>
        <v>#REF!</v>
      </c>
      <c r="H36" s="164" t="e">
        <f>'10.Grain Production details'!#REF!</f>
        <v>#REF!</v>
      </c>
    </row>
    <row r="37" spans="1:8">
      <c r="A37" s="164" t="e">
        <f>'10.Grain Production details'!#REF!</f>
        <v>#REF!</v>
      </c>
      <c r="B37" s="164" t="e">
        <f>'10.Grain Production details'!#REF!</f>
        <v>#REF!</v>
      </c>
      <c r="C37" s="164" t="e">
        <f>'10.Grain Production details'!#REF!</f>
        <v>#REF!</v>
      </c>
      <c r="D37" s="164" t="e">
        <f>'10.Grain Production details'!#REF!</f>
        <v>#REF!</v>
      </c>
      <c r="E37" s="164" t="e">
        <f>'10.Grain Production details'!#REF!</f>
        <v>#REF!</v>
      </c>
      <c r="F37" s="164" t="e">
        <f>'10.Grain Production details'!#REF!</f>
        <v>#REF!</v>
      </c>
      <c r="G37" s="164" t="e">
        <f>'10.Grain Production details'!#REF!</f>
        <v>#REF!</v>
      </c>
      <c r="H37" s="164" t="e">
        <f>'10.Grain Production details'!#REF!</f>
        <v>#REF!</v>
      </c>
    </row>
    <row r="38" spans="1:8">
      <c r="A38" s="164" t="str">
        <f>'10.Grain Production details'!A26</f>
        <v xml:space="preserve">Safflower Seed </v>
      </c>
      <c r="B38" s="164">
        <f>'10.Grain Production details'!B26</f>
        <v>51.729824561403511</v>
      </c>
      <c r="C38" s="164">
        <f>'10.Grain Production details'!C26</f>
        <v>56.722807017543872</v>
      </c>
      <c r="D38" s="164">
        <f>'10.Grain Production details'!D26</f>
        <v>61.715789473684218</v>
      </c>
      <c r="E38" s="164">
        <f>'10.Grain Production details'!E26</f>
        <v>66.708771929824579</v>
      </c>
      <c r="F38" s="164">
        <f>'10.Grain Production details'!F26</f>
        <v>71.701754385964932</v>
      </c>
      <c r="G38" s="164">
        <f>'10.Grain Production details'!G26</f>
        <v>76.694736842105286</v>
      </c>
      <c r="H38" s="164">
        <f>'10.Grain Production details'!H26</f>
        <v>81.687719298245639</v>
      </c>
    </row>
    <row r="39" spans="1:8">
      <c r="A39" s="164" t="e">
        <f>'10.Grain Production details'!#REF!</f>
        <v>#REF!</v>
      </c>
      <c r="B39" s="164" t="e">
        <f>'10.Grain Production details'!#REF!</f>
        <v>#REF!</v>
      </c>
      <c r="C39" s="164" t="e">
        <f>'10.Grain Production details'!#REF!</f>
        <v>#REF!</v>
      </c>
      <c r="D39" s="164" t="e">
        <f>'10.Grain Production details'!#REF!</f>
        <v>#REF!</v>
      </c>
      <c r="E39" s="164" t="e">
        <f>'10.Grain Production details'!#REF!</f>
        <v>#REF!</v>
      </c>
      <c r="F39" s="164" t="e">
        <f>'10.Grain Production details'!#REF!</f>
        <v>#REF!</v>
      </c>
      <c r="G39" s="164" t="e">
        <f>'10.Grain Production details'!#REF!</f>
        <v>#REF!</v>
      </c>
      <c r="H39" s="164" t="e">
        <f>'10.Grain Production details'!#REF!</f>
        <v>#REF!</v>
      </c>
    </row>
    <row r="40" spans="1:8">
      <c r="A40" s="164" t="e">
        <f>'10.Grain Production details'!#REF!</f>
        <v>#REF!</v>
      </c>
      <c r="B40" s="164" t="e">
        <f>'10.Grain Production details'!#REF!</f>
        <v>#REF!</v>
      </c>
      <c r="C40" s="164" t="e">
        <f>'10.Grain Production details'!#REF!</f>
        <v>#REF!</v>
      </c>
      <c r="D40" s="164" t="e">
        <f>'10.Grain Production details'!#REF!</f>
        <v>#REF!</v>
      </c>
      <c r="E40" s="164" t="e">
        <f>'10.Grain Production details'!#REF!</f>
        <v>#REF!</v>
      </c>
      <c r="F40" s="164" t="e">
        <f>'10.Grain Production details'!#REF!</f>
        <v>#REF!</v>
      </c>
      <c r="G40" s="164" t="e">
        <f>'10.Grain Production details'!#REF!</f>
        <v>#REF!</v>
      </c>
      <c r="H40" s="164" t="e">
        <f>'10.Grain Production details'!#REF!</f>
        <v>#REF!</v>
      </c>
    </row>
    <row r="41" spans="1:8">
      <c r="A41" s="164" t="e">
        <f>'10.Grain Production details'!#REF!</f>
        <v>#REF!</v>
      </c>
      <c r="B41" s="164" t="e">
        <f>'10.Grain Production details'!#REF!</f>
        <v>#REF!</v>
      </c>
      <c r="C41" s="164" t="e">
        <f>'10.Grain Production details'!#REF!</f>
        <v>#REF!</v>
      </c>
      <c r="D41" s="164" t="e">
        <f>'10.Grain Production details'!#REF!</f>
        <v>#REF!</v>
      </c>
      <c r="E41" s="164" t="e">
        <f>'10.Grain Production details'!#REF!</f>
        <v>#REF!</v>
      </c>
      <c r="F41" s="164" t="e">
        <f>'10.Grain Production details'!#REF!</f>
        <v>#REF!</v>
      </c>
      <c r="G41" s="164" t="e">
        <f>'10.Grain Production details'!#REF!</f>
        <v>#REF!</v>
      </c>
      <c r="H41" s="164" t="e">
        <f>'10.Grain Production details'!#REF!</f>
        <v>#REF!</v>
      </c>
    </row>
    <row r="42" spans="1:8">
      <c r="A42" s="164" t="e">
        <f>'10.Grain Production details'!#REF!</f>
        <v>#REF!</v>
      </c>
      <c r="B42" s="164" t="e">
        <f>'10.Grain Production details'!#REF!</f>
        <v>#REF!</v>
      </c>
      <c r="C42" s="164" t="e">
        <f>'10.Grain Production details'!#REF!</f>
        <v>#REF!</v>
      </c>
      <c r="D42" s="164" t="e">
        <f>'10.Grain Production details'!#REF!</f>
        <v>#REF!</v>
      </c>
      <c r="E42" s="164" t="e">
        <f>'10.Grain Production details'!#REF!</f>
        <v>#REF!</v>
      </c>
      <c r="F42" s="164" t="e">
        <f>'10.Grain Production details'!#REF!</f>
        <v>#REF!</v>
      </c>
      <c r="G42" s="164" t="e">
        <f>'10.Grain Production details'!#REF!</f>
        <v>#REF!</v>
      </c>
      <c r="H42" s="164" t="e">
        <f>'10.Grain Production details'!#REF!</f>
        <v>#REF!</v>
      </c>
    </row>
    <row r="43" spans="1:8">
      <c r="A43" s="164" t="e">
        <f>'10.Grain Production details'!#REF!</f>
        <v>#REF!</v>
      </c>
      <c r="B43" s="164" t="e">
        <f>'10.Grain Production details'!#REF!</f>
        <v>#REF!</v>
      </c>
      <c r="C43" s="164" t="e">
        <f>'10.Grain Production details'!#REF!</f>
        <v>#REF!</v>
      </c>
      <c r="D43" s="164" t="e">
        <f>'10.Grain Production details'!#REF!</f>
        <v>#REF!</v>
      </c>
      <c r="E43" s="164" t="e">
        <f>'10.Grain Production details'!#REF!</f>
        <v>#REF!</v>
      </c>
      <c r="F43" s="164" t="e">
        <f>'10.Grain Production details'!#REF!</f>
        <v>#REF!</v>
      </c>
      <c r="G43" s="164" t="e">
        <f>'10.Grain Production details'!#REF!</f>
        <v>#REF!</v>
      </c>
      <c r="H43" s="164" t="e">
        <f>'10.Grain Production details'!#REF!</f>
        <v>#REF!</v>
      </c>
    </row>
    <row r="44" spans="1:8">
      <c r="A44" s="164" t="e">
        <f>'10.Grain Production details'!#REF!</f>
        <v>#REF!</v>
      </c>
      <c r="B44" s="164" t="e">
        <f>'10.Grain Production details'!#REF!</f>
        <v>#REF!</v>
      </c>
      <c r="C44" s="164" t="e">
        <f>'10.Grain Production details'!#REF!</f>
        <v>#REF!</v>
      </c>
      <c r="D44" s="164" t="e">
        <f>'10.Grain Production details'!#REF!</f>
        <v>#REF!</v>
      </c>
      <c r="E44" s="164" t="e">
        <f>'10.Grain Production details'!#REF!</f>
        <v>#REF!</v>
      </c>
      <c r="F44" s="164" t="e">
        <f>'10.Grain Production details'!#REF!</f>
        <v>#REF!</v>
      </c>
      <c r="G44" s="164" t="e">
        <f>'10.Grain Production details'!#REF!</f>
        <v>#REF!</v>
      </c>
      <c r="H44" s="164" t="e">
        <f>'10.Grain Production details'!#REF!</f>
        <v>#REF!</v>
      </c>
    </row>
    <row r="45" spans="1:8">
      <c r="A45" s="164" t="e">
        <f>'10.Grain Production details'!#REF!</f>
        <v>#REF!</v>
      </c>
      <c r="B45" s="164" t="e">
        <f>'10.Grain Production details'!#REF!</f>
        <v>#REF!</v>
      </c>
      <c r="C45" s="164" t="e">
        <f>'10.Grain Production details'!#REF!</f>
        <v>#REF!</v>
      </c>
      <c r="D45" s="164" t="e">
        <f>'10.Grain Production details'!#REF!</f>
        <v>#REF!</v>
      </c>
      <c r="E45" s="164" t="e">
        <f>'10.Grain Production details'!#REF!</f>
        <v>#REF!</v>
      </c>
      <c r="F45" s="164" t="e">
        <f>'10.Grain Production details'!#REF!</f>
        <v>#REF!</v>
      </c>
      <c r="G45" s="164" t="e">
        <f>'10.Grain Production details'!#REF!</f>
        <v>#REF!</v>
      </c>
      <c r="H45" s="164" t="e">
        <f>'10.Grain Production details'!#REF!</f>
        <v>#REF!</v>
      </c>
    </row>
    <row r="46" spans="1:8">
      <c r="A46" s="164" t="e">
        <f>'10.Grain Production details'!#REF!</f>
        <v>#REF!</v>
      </c>
      <c r="B46" s="164" t="e">
        <f>'10.Grain Production details'!#REF!</f>
        <v>#REF!</v>
      </c>
      <c r="C46" s="164" t="e">
        <f>'10.Grain Production details'!#REF!</f>
        <v>#REF!</v>
      </c>
      <c r="D46" s="164" t="e">
        <f>'10.Grain Production details'!#REF!</f>
        <v>#REF!</v>
      </c>
      <c r="E46" s="164" t="e">
        <f>'10.Grain Production details'!#REF!</f>
        <v>#REF!</v>
      </c>
      <c r="F46" s="164" t="e">
        <f>'10.Grain Production details'!#REF!</f>
        <v>#REF!</v>
      </c>
      <c r="G46" s="164" t="e">
        <f>'10.Grain Production details'!#REF!</f>
        <v>#REF!</v>
      </c>
      <c r="H46" s="164" t="e">
        <f>'10.Grain Production details'!#REF!</f>
        <v>#REF!</v>
      </c>
    </row>
    <row r="47" spans="1:8">
      <c r="A47" s="164" t="e">
        <f>'10.Grain Production details'!#REF!</f>
        <v>#REF!</v>
      </c>
      <c r="B47" s="164" t="e">
        <f>'10.Grain Production details'!#REF!</f>
        <v>#REF!</v>
      </c>
      <c r="C47" s="164" t="e">
        <f>'10.Grain Production details'!#REF!</f>
        <v>#REF!</v>
      </c>
      <c r="D47" s="164" t="e">
        <f>'10.Grain Production details'!#REF!</f>
        <v>#REF!</v>
      </c>
      <c r="E47" s="164" t="e">
        <f>'10.Grain Production details'!#REF!</f>
        <v>#REF!</v>
      </c>
      <c r="F47" s="164" t="e">
        <f>'10.Grain Production details'!#REF!</f>
        <v>#REF!</v>
      </c>
      <c r="G47" s="164" t="e">
        <f>'10.Grain Production details'!#REF!</f>
        <v>#REF!</v>
      </c>
      <c r="H47" s="164" t="e">
        <f>'10.Grain Production details'!#REF!</f>
        <v>#REF!</v>
      </c>
    </row>
    <row r="48" spans="1:8">
      <c r="A48" s="164" t="e">
        <f>'10.Grain Production details'!#REF!</f>
        <v>#REF!</v>
      </c>
      <c r="B48" s="164" t="e">
        <f>'10.Grain Production details'!#REF!</f>
        <v>#REF!</v>
      </c>
      <c r="C48" s="164" t="e">
        <f>'10.Grain Production details'!#REF!</f>
        <v>#REF!</v>
      </c>
      <c r="D48" s="164" t="e">
        <f>'10.Grain Production details'!#REF!</f>
        <v>#REF!</v>
      </c>
      <c r="E48" s="164" t="e">
        <f>'10.Grain Production details'!#REF!</f>
        <v>#REF!</v>
      </c>
      <c r="F48" s="164" t="e">
        <f>'10.Grain Production details'!#REF!</f>
        <v>#REF!</v>
      </c>
      <c r="G48" s="164" t="e">
        <f>'10.Grain Production details'!#REF!</f>
        <v>#REF!</v>
      </c>
      <c r="H48" s="164" t="e">
        <f>'10.Grain Production details'!#REF!</f>
        <v>#REF!</v>
      </c>
    </row>
    <row r="49" spans="1:8">
      <c r="A49" s="164" t="e">
        <f>'10.Grain Production details'!#REF!</f>
        <v>#REF!</v>
      </c>
      <c r="B49" s="164" t="e">
        <f>'10.Grain Production details'!#REF!</f>
        <v>#REF!</v>
      </c>
      <c r="C49" s="164" t="e">
        <f>'10.Grain Production details'!#REF!</f>
        <v>#REF!</v>
      </c>
      <c r="D49" s="164" t="e">
        <f>'10.Grain Production details'!#REF!</f>
        <v>#REF!</v>
      </c>
      <c r="E49" s="164" t="e">
        <f>'10.Grain Production details'!#REF!</f>
        <v>#REF!</v>
      </c>
      <c r="F49" s="164" t="e">
        <f>'10.Grain Production details'!#REF!</f>
        <v>#REF!</v>
      </c>
      <c r="G49" s="164" t="e">
        <f>'10.Grain Production details'!#REF!</f>
        <v>#REF!</v>
      </c>
      <c r="H49" s="164" t="e">
        <f>'10.Grain Production details'!#REF!</f>
        <v>#REF!</v>
      </c>
    </row>
    <row r="50" spans="1:8">
      <c r="A50" s="164" t="e">
        <f>'10.Grain Production details'!#REF!</f>
        <v>#REF!</v>
      </c>
      <c r="B50" s="164" t="e">
        <f>'10.Grain Production details'!#REF!</f>
        <v>#REF!</v>
      </c>
      <c r="C50" s="164" t="e">
        <f>'10.Grain Production details'!#REF!</f>
        <v>#REF!</v>
      </c>
      <c r="D50" s="164" t="e">
        <f>'10.Grain Production details'!#REF!</f>
        <v>#REF!</v>
      </c>
      <c r="E50" s="164" t="e">
        <f>'10.Grain Production details'!#REF!</f>
        <v>#REF!</v>
      </c>
      <c r="F50" s="164" t="e">
        <f>'10.Grain Production details'!#REF!</f>
        <v>#REF!</v>
      </c>
      <c r="G50" s="164" t="e">
        <f>'10.Grain Production details'!#REF!</f>
        <v>#REF!</v>
      </c>
      <c r="H50" s="164" t="e">
        <f>'10.Grain Production details'!#REF!</f>
        <v>#REF!</v>
      </c>
    </row>
    <row r="51" spans="1:8">
      <c r="A51" s="164" t="e">
        <f>'10.Grain Production details'!#REF!</f>
        <v>#REF!</v>
      </c>
      <c r="B51" s="164" t="e">
        <f>'10.Grain Production details'!#REF!</f>
        <v>#REF!</v>
      </c>
      <c r="C51" s="164" t="e">
        <f>'10.Grain Production details'!#REF!</f>
        <v>#REF!</v>
      </c>
      <c r="D51" s="164" t="e">
        <f>'10.Grain Production details'!#REF!</f>
        <v>#REF!</v>
      </c>
      <c r="E51" s="164" t="e">
        <f>'10.Grain Production details'!#REF!</f>
        <v>#REF!</v>
      </c>
      <c r="F51" s="164" t="e">
        <f>'10.Grain Production details'!#REF!</f>
        <v>#REF!</v>
      </c>
      <c r="G51" s="164" t="e">
        <f>'10.Grain Production details'!#REF!</f>
        <v>#REF!</v>
      </c>
      <c r="H51" s="164" t="e">
        <f>'10.Grain Production details'!#REF!</f>
        <v>#REF!</v>
      </c>
    </row>
    <row r="52" spans="1:8">
      <c r="A52" s="164" t="e">
        <f>'10.Grain Production details'!#REF!</f>
        <v>#REF!</v>
      </c>
      <c r="B52" s="164" t="e">
        <f>'10.Grain Production details'!#REF!</f>
        <v>#REF!</v>
      </c>
      <c r="C52" s="164" t="e">
        <f>'10.Grain Production details'!#REF!</f>
        <v>#REF!</v>
      </c>
      <c r="D52" s="164" t="e">
        <f>'10.Grain Production details'!#REF!</f>
        <v>#REF!</v>
      </c>
      <c r="E52" s="164" t="e">
        <f>'10.Grain Production details'!#REF!</f>
        <v>#REF!</v>
      </c>
      <c r="F52" s="164" t="e">
        <f>'10.Grain Production details'!#REF!</f>
        <v>#REF!</v>
      </c>
      <c r="G52" s="164" t="e">
        <f>'10.Grain Production details'!#REF!</f>
        <v>#REF!</v>
      </c>
      <c r="H52" s="164" t="e">
        <f>'10.Grain Production details'!#REF!</f>
        <v>#REF!</v>
      </c>
    </row>
    <row r="53" spans="1:8">
      <c r="A53" s="164" t="e">
        <f>'10.Grain Production details'!#REF!</f>
        <v>#REF!</v>
      </c>
      <c r="B53" s="164"/>
      <c r="C53" s="164"/>
      <c r="D53" s="164"/>
      <c r="E53" s="164"/>
      <c r="F53" s="164"/>
      <c r="G53" s="164"/>
      <c r="H53" s="164"/>
    </row>
    <row r="54" spans="1:8">
      <c r="A54" s="164" t="e">
        <f>'10.Grain Production details'!#REF!</f>
        <v>#REF!</v>
      </c>
      <c r="B54" s="164"/>
      <c r="C54" s="164"/>
      <c r="D54" s="164"/>
      <c r="E54" s="164"/>
      <c r="F54" s="164"/>
      <c r="G54" s="164"/>
      <c r="H54" s="164"/>
    </row>
    <row r="55" spans="1:8">
      <c r="A55" s="164" t="e">
        <f>'10.Grain Production details'!#REF!</f>
        <v>#REF!</v>
      </c>
      <c r="B55" s="164"/>
      <c r="C55" s="164"/>
      <c r="D55" s="164"/>
      <c r="E55" s="164"/>
      <c r="F55" s="164"/>
      <c r="G55" s="164"/>
      <c r="H55" s="164"/>
    </row>
    <row r="56" spans="1:8">
      <c r="A56" s="164" t="e">
        <f>'10.Grain Production details'!#REF!</f>
        <v>#REF!</v>
      </c>
      <c r="B56" s="164" t="e">
        <f>'10.Grain Production details'!#REF!</f>
        <v>#REF!</v>
      </c>
      <c r="C56" s="164" t="e">
        <f>'10.Grain Production details'!#REF!</f>
        <v>#REF!</v>
      </c>
      <c r="D56" s="164" t="e">
        <f>'10.Grain Production details'!#REF!</f>
        <v>#REF!</v>
      </c>
      <c r="E56" s="164" t="e">
        <f>'10.Grain Production details'!#REF!</f>
        <v>#REF!</v>
      </c>
      <c r="F56" s="164" t="e">
        <f>'10.Grain Production details'!#REF!</f>
        <v>#REF!</v>
      </c>
      <c r="G56" s="164" t="e">
        <f>'10.Grain Production details'!#REF!</f>
        <v>#REF!</v>
      </c>
      <c r="H56" s="164" t="e">
        <f>'10.Grain Production details'!#REF!</f>
        <v>#REF!</v>
      </c>
    </row>
    <row r="57" spans="1:8">
      <c r="A57" s="164" t="e">
        <f>'10.Grain Production details'!#REF!</f>
        <v>#REF!</v>
      </c>
      <c r="B57" s="164" t="e">
        <f>'10.Grain Production details'!#REF!</f>
        <v>#REF!</v>
      </c>
      <c r="C57" s="164" t="e">
        <f>'10.Grain Production details'!#REF!</f>
        <v>#REF!</v>
      </c>
      <c r="D57" s="164" t="e">
        <f>'10.Grain Production details'!#REF!</f>
        <v>#REF!</v>
      </c>
      <c r="E57" s="164" t="e">
        <f>'10.Grain Production details'!#REF!</f>
        <v>#REF!</v>
      </c>
      <c r="F57" s="164" t="e">
        <f>'10.Grain Production details'!#REF!</f>
        <v>#REF!</v>
      </c>
      <c r="G57" s="164" t="e">
        <f>'10.Grain Production details'!#REF!</f>
        <v>#REF!</v>
      </c>
      <c r="H57" s="164" t="e">
        <f>'10.Grain Production details'!#REF!</f>
        <v>#REF!</v>
      </c>
    </row>
    <row r="58" spans="1:8">
      <c r="A58" s="164" t="e">
        <f>'10.Grain Production details'!#REF!</f>
        <v>#REF!</v>
      </c>
      <c r="B58" s="164" t="e">
        <f>'10.Grain Production details'!#REF!</f>
        <v>#REF!</v>
      </c>
      <c r="C58" s="164" t="e">
        <f>'10.Grain Production details'!#REF!</f>
        <v>#REF!</v>
      </c>
      <c r="D58" s="164" t="e">
        <f>'10.Grain Production details'!#REF!</f>
        <v>#REF!</v>
      </c>
      <c r="E58" s="164" t="e">
        <f>'10.Grain Production details'!#REF!</f>
        <v>#REF!</v>
      </c>
      <c r="F58" s="164" t="e">
        <f>'10.Grain Production details'!#REF!</f>
        <v>#REF!</v>
      </c>
      <c r="G58" s="164" t="e">
        <f>'10.Grain Production details'!#REF!</f>
        <v>#REF!</v>
      </c>
      <c r="H58" s="164" t="e">
        <f>'10.Grain Production details'!#REF!</f>
        <v>#REF!</v>
      </c>
    </row>
    <row r="59" spans="1:8">
      <c r="A59" s="164" t="e">
        <f>'10.Grain Production details'!#REF!</f>
        <v>#REF!</v>
      </c>
      <c r="B59" s="164" t="e">
        <f>'10.Grain Production details'!#REF!</f>
        <v>#REF!</v>
      </c>
      <c r="C59" s="164" t="e">
        <f>'10.Grain Production details'!#REF!</f>
        <v>#REF!</v>
      </c>
      <c r="D59" s="164" t="e">
        <f>'10.Grain Production details'!#REF!</f>
        <v>#REF!</v>
      </c>
      <c r="E59" s="164" t="e">
        <f>'10.Grain Production details'!#REF!</f>
        <v>#REF!</v>
      </c>
      <c r="F59" s="164" t="e">
        <f>'10.Grain Production details'!#REF!</f>
        <v>#REF!</v>
      </c>
      <c r="G59" s="164" t="e">
        <f>'10.Grain Production details'!#REF!</f>
        <v>#REF!</v>
      </c>
      <c r="H59" s="164" t="e">
        <f>'10.Grain Production details'!#REF!</f>
        <v>#REF!</v>
      </c>
    </row>
    <row r="60" spans="1:8">
      <c r="A60" s="164"/>
      <c r="B60" s="164"/>
      <c r="C60" s="164"/>
      <c r="D60" s="164"/>
      <c r="E60" s="164"/>
      <c r="F60" s="164"/>
      <c r="G60" s="164"/>
      <c r="H60" s="164"/>
    </row>
    <row r="61" spans="1:8">
      <c r="A61" s="82" t="s">
        <v>470</v>
      </c>
      <c r="B61" s="164" t="e">
        <f t="shared" ref="B61:H61" si="2">SUM(B35:B59)</f>
        <v>#REF!</v>
      </c>
      <c r="C61" s="164" t="e">
        <f t="shared" si="2"/>
        <v>#REF!</v>
      </c>
      <c r="D61" s="164" t="e">
        <f t="shared" si="2"/>
        <v>#REF!</v>
      </c>
      <c r="E61" s="164" t="e">
        <f t="shared" si="2"/>
        <v>#REF!</v>
      </c>
      <c r="F61" s="164" t="e">
        <f t="shared" si="2"/>
        <v>#REF!</v>
      </c>
      <c r="G61" s="164" t="e">
        <f t="shared" si="2"/>
        <v>#REF!</v>
      </c>
      <c r="H61" s="164" t="e">
        <f t="shared" si="2"/>
        <v>#REF!</v>
      </c>
    </row>
    <row r="62" spans="1:8">
      <c r="A62" s="240" t="s">
        <v>472</v>
      </c>
      <c r="B62" s="258">
        <v>0.5</v>
      </c>
      <c r="C62" s="258">
        <v>0.5</v>
      </c>
      <c r="D62" s="258">
        <v>0.5</v>
      </c>
      <c r="E62" s="258">
        <v>0.5</v>
      </c>
      <c r="F62" s="258">
        <v>0.5</v>
      </c>
      <c r="G62" s="258">
        <v>0.5</v>
      </c>
      <c r="H62" s="258">
        <v>0.5</v>
      </c>
    </row>
    <row r="63" spans="1:8">
      <c r="A63" s="240" t="s">
        <v>473</v>
      </c>
      <c r="B63" s="258">
        <f t="shared" ref="B63:H63" si="3">1-B62</f>
        <v>0.5</v>
      </c>
      <c r="C63" s="258">
        <f t="shared" si="3"/>
        <v>0.5</v>
      </c>
      <c r="D63" s="258">
        <f t="shared" si="3"/>
        <v>0.5</v>
      </c>
      <c r="E63" s="258">
        <f t="shared" si="3"/>
        <v>0.5</v>
      </c>
      <c r="F63" s="258">
        <f t="shared" si="3"/>
        <v>0.5</v>
      </c>
      <c r="G63" s="258">
        <f t="shared" si="3"/>
        <v>0.5</v>
      </c>
      <c r="H63" s="258">
        <f t="shared" si="3"/>
        <v>0.5</v>
      </c>
    </row>
    <row r="64" spans="1:8">
      <c r="A64" s="240"/>
      <c r="B64" s="258"/>
      <c r="C64" s="258"/>
      <c r="D64" s="258"/>
      <c r="E64" s="258"/>
      <c r="F64" s="258"/>
      <c r="G64" s="258"/>
      <c r="H64" s="258"/>
    </row>
    <row r="65" spans="1:8">
      <c r="A65" s="240" t="s">
        <v>160</v>
      </c>
      <c r="B65" s="241">
        <f t="shared" ref="B65:H65" si="4">B33*B62</f>
        <v>0.5</v>
      </c>
      <c r="C65" s="241">
        <f t="shared" si="4"/>
        <v>0.5</v>
      </c>
      <c r="D65" s="241">
        <f t="shared" si="4"/>
        <v>0.5</v>
      </c>
      <c r="E65" s="241">
        <f t="shared" si="4"/>
        <v>0.5</v>
      </c>
      <c r="F65" s="241">
        <f t="shared" si="4"/>
        <v>0.5</v>
      </c>
      <c r="G65" s="241">
        <f t="shared" si="4"/>
        <v>0.5</v>
      </c>
      <c r="H65" s="241">
        <f t="shared" si="4"/>
        <v>0.5</v>
      </c>
    </row>
    <row r="66" spans="1:8">
      <c r="A66" s="82"/>
      <c r="B66" s="164"/>
      <c r="C66" s="164"/>
      <c r="D66" s="164"/>
      <c r="E66" s="164"/>
      <c r="F66" s="164"/>
      <c r="G66" s="164"/>
      <c r="H66" s="164"/>
    </row>
    <row r="67" spans="1:8">
      <c r="A67" s="82" t="s">
        <v>161</v>
      </c>
      <c r="B67" s="164"/>
      <c r="C67" s="164"/>
      <c r="D67" s="164"/>
      <c r="E67" s="164"/>
      <c r="F67" s="164"/>
      <c r="G67" s="164"/>
      <c r="H67" s="164"/>
    </row>
    <row r="68" spans="1:8">
      <c r="A68" s="80" t="str">
        <f t="shared" ref="A68:A89" si="5">A11</f>
        <v>Particulars</v>
      </c>
      <c r="B68" s="256">
        <f t="shared" ref="B68:B89" si="6">B11*$B$63</f>
        <v>0.5</v>
      </c>
      <c r="C68" s="256">
        <f t="shared" ref="C68:C83" si="7">C11*$C$63</f>
        <v>0.5</v>
      </c>
      <c r="D68" s="256">
        <f t="shared" ref="D68:D83" si="8">D11*$D$63</f>
        <v>0.5</v>
      </c>
      <c r="E68" s="256">
        <f t="shared" ref="E68:E83" si="9">E11*$E$63</f>
        <v>0.5</v>
      </c>
      <c r="F68" s="256">
        <f t="shared" ref="F68:F83" si="10">F11*$F$63</f>
        <v>0.5</v>
      </c>
      <c r="G68" s="256">
        <f t="shared" ref="G68:G83" si="11">G11*$G$63</f>
        <v>0.5</v>
      </c>
      <c r="H68" s="256">
        <f t="shared" ref="H68:H83" si="12">H11*$H$63</f>
        <v>0.5</v>
      </c>
    </row>
    <row r="69" spans="1:8">
      <c r="A69" s="80">
        <f t="shared" si="5"/>
        <v>0</v>
      </c>
      <c r="B69" s="256" t="e">
        <f t="shared" si="6"/>
        <v>#VALUE!</v>
      </c>
      <c r="C69" s="256" t="e">
        <f t="shared" si="7"/>
        <v>#VALUE!</v>
      </c>
      <c r="D69" s="256" t="e">
        <f t="shared" si="8"/>
        <v>#VALUE!</v>
      </c>
      <c r="E69" s="256" t="e">
        <f t="shared" si="9"/>
        <v>#VALUE!</v>
      </c>
      <c r="F69" s="256" t="e">
        <f t="shared" si="10"/>
        <v>#VALUE!</v>
      </c>
      <c r="G69" s="256" t="e">
        <f t="shared" si="11"/>
        <v>#VALUE!</v>
      </c>
      <c r="H69" s="256" t="e">
        <f t="shared" si="12"/>
        <v>#VALUE!</v>
      </c>
    </row>
    <row r="70" spans="1:8">
      <c r="A70" s="80">
        <f t="shared" si="5"/>
        <v>0</v>
      </c>
      <c r="B70" s="256">
        <f t="shared" si="6"/>
        <v>0</v>
      </c>
      <c r="C70" s="256">
        <f t="shared" si="7"/>
        <v>0</v>
      </c>
      <c r="D70" s="256">
        <f t="shared" si="8"/>
        <v>0</v>
      </c>
      <c r="E70" s="256">
        <f t="shared" si="9"/>
        <v>0</v>
      </c>
      <c r="F70" s="256">
        <f t="shared" si="10"/>
        <v>0</v>
      </c>
      <c r="G70" s="256">
        <f t="shared" si="11"/>
        <v>0</v>
      </c>
      <c r="H70" s="256">
        <f t="shared" si="12"/>
        <v>0</v>
      </c>
    </row>
    <row r="71" spans="1:8">
      <c r="A71" s="80" t="str">
        <f t="shared" si="5"/>
        <v>Chilli</v>
      </c>
      <c r="B71" s="256">
        <f t="shared" si="6"/>
        <v>0</v>
      </c>
      <c r="C71" s="256">
        <f t="shared" si="7"/>
        <v>0</v>
      </c>
      <c r="D71" s="256">
        <f t="shared" si="8"/>
        <v>0</v>
      </c>
      <c r="E71" s="256">
        <f t="shared" si="9"/>
        <v>0</v>
      </c>
      <c r="F71" s="256">
        <f t="shared" si="10"/>
        <v>0</v>
      </c>
      <c r="G71" s="256">
        <f t="shared" si="11"/>
        <v>0</v>
      </c>
      <c r="H71" s="256">
        <f t="shared" si="12"/>
        <v>0</v>
      </c>
    </row>
    <row r="72" spans="1:8">
      <c r="A72" s="80">
        <f t="shared" si="5"/>
        <v>0</v>
      </c>
      <c r="B72" s="256">
        <f t="shared" si="6"/>
        <v>0</v>
      </c>
      <c r="C72" s="256">
        <f t="shared" si="7"/>
        <v>0</v>
      </c>
      <c r="D72" s="256">
        <f t="shared" si="8"/>
        <v>0</v>
      </c>
      <c r="E72" s="256">
        <f t="shared" si="9"/>
        <v>0</v>
      </c>
      <c r="F72" s="256">
        <f t="shared" si="10"/>
        <v>0</v>
      </c>
      <c r="G72" s="256">
        <f t="shared" si="11"/>
        <v>0</v>
      </c>
      <c r="H72" s="256">
        <f t="shared" si="12"/>
        <v>0</v>
      </c>
    </row>
    <row r="73" spans="1:8">
      <c r="A73" s="80">
        <f t="shared" si="5"/>
        <v>0</v>
      </c>
      <c r="B73" s="256">
        <f t="shared" si="6"/>
        <v>0</v>
      </c>
      <c r="C73" s="256">
        <f t="shared" si="7"/>
        <v>0</v>
      </c>
      <c r="D73" s="256">
        <f t="shared" si="8"/>
        <v>0</v>
      </c>
      <c r="E73" s="256">
        <f t="shared" si="9"/>
        <v>0</v>
      </c>
      <c r="F73" s="256">
        <f t="shared" si="10"/>
        <v>0</v>
      </c>
      <c r="G73" s="256">
        <f t="shared" si="11"/>
        <v>0</v>
      </c>
      <c r="H73" s="256">
        <f t="shared" si="12"/>
        <v>0</v>
      </c>
    </row>
    <row r="74" spans="1:8">
      <c r="A74" s="80" t="str">
        <f t="shared" si="5"/>
        <v>Assumptions:</v>
      </c>
      <c r="B74" s="256">
        <f t="shared" si="6"/>
        <v>0</v>
      </c>
      <c r="C74" s="256">
        <f t="shared" si="7"/>
        <v>0</v>
      </c>
      <c r="D74" s="256">
        <f t="shared" si="8"/>
        <v>0</v>
      </c>
      <c r="E74" s="256">
        <f t="shared" si="9"/>
        <v>0</v>
      </c>
      <c r="F74" s="256">
        <f t="shared" si="10"/>
        <v>0</v>
      </c>
      <c r="G74" s="256">
        <f t="shared" si="11"/>
        <v>0</v>
      </c>
      <c r="H74" s="256">
        <f t="shared" si="12"/>
        <v>0</v>
      </c>
    </row>
    <row r="75" spans="1:8">
      <c r="A75" s="80">
        <f t="shared" si="5"/>
        <v>1</v>
      </c>
      <c r="B75" s="256" t="e">
        <f t="shared" si="6"/>
        <v>#VALUE!</v>
      </c>
      <c r="C75" s="256">
        <f t="shared" si="7"/>
        <v>0</v>
      </c>
      <c r="D75" s="256">
        <f t="shared" si="8"/>
        <v>0</v>
      </c>
      <c r="E75" s="256">
        <f t="shared" si="9"/>
        <v>0</v>
      </c>
      <c r="F75" s="256">
        <f t="shared" si="10"/>
        <v>0</v>
      </c>
      <c r="G75" s="256">
        <f t="shared" si="11"/>
        <v>0</v>
      </c>
      <c r="H75" s="256">
        <f t="shared" si="12"/>
        <v>0</v>
      </c>
    </row>
    <row r="76" spans="1:8">
      <c r="A76" s="80">
        <f t="shared" si="5"/>
        <v>2</v>
      </c>
      <c r="B76" s="256" t="e">
        <f t="shared" si="6"/>
        <v>#VALUE!</v>
      </c>
      <c r="C76" s="256">
        <f t="shared" si="7"/>
        <v>0</v>
      </c>
      <c r="D76" s="256">
        <f t="shared" si="8"/>
        <v>0</v>
      </c>
      <c r="E76" s="256">
        <f t="shared" si="9"/>
        <v>0</v>
      </c>
      <c r="F76" s="256">
        <f t="shared" si="10"/>
        <v>0</v>
      </c>
      <c r="G76" s="256">
        <f t="shared" si="11"/>
        <v>0</v>
      </c>
      <c r="H76" s="256">
        <f t="shared" si="12"/>
        <v>0</v>
      </c>
    </row>
    <row r="77" spans="1:8">
      <c r="A77" s="80">
        <f t="shared" si="5"/>
        <v>3</v>
      </c>
      <c r="B77" s="256" t="e">
        <f t="shared" si="6"/>
        <v>#VALUE!</v>
      </c>
      <c r="C77" s="256">
        <f t="shared" si="7"/>
        <v>0</v>
      </c>
      <c r="D77" s="256">
        <f t="shared" si="8"/>
        <v>0</v>
      </c>
      <c r="E77" s="256">
        <f t="shared" si="9"/>
        <v>0</v>
      </c>
      <c r="F77" s="256">
        <f t="shared" si="10"/>
        <v>0</v>
      </c>
      <c r="G77" s="256">
        <f t="shared" si="11"/>
        <v>0</v>
      </c>
      <c r="H77" s="256">
        <f t="shared" si="12"/>
        <v>0</v>
      </c>
    </row>
    <row r="78" spans="1:8">
      <c r="A78" s="80">
        <f t="shared" si="5"/>
        <v>0</v>
      </c>
      <c r="B78" s="256">
        <f t="shared" si="6"/>
        <v>0</v>
      </c>
      <c r="C78" s="256">
        <f t="shared" si="7"/>
        <v>0</v>
      </c>
      <c r="D78" s="256">
        <f t="shared" si="8"/>
        <v>0</v>
      </c>
      <c r="E78" s="256">
        <f t="shared" si="9"/>
        <v>0</v>
      </c>
      <c r="F78" s="256">
        <f t="shared" si="10"/>
        <v>0</v>
      </c>
      <c r="G78" s="256">
        <f t="shared" si="11"/>
        <v>0</v>
      </c>
      <c r="H78" s="256">
        <f t="shared" si="12"/>
        <v>0</v>
      </c>
    </row>
    <row r="79" spans="1:8">
      <c r="A79" s="80">
        <f t="shared" si="5"/>
        <v>0</v>
      </c>
      <c r="B79" s="256">
        <f t="shared" si="6"/>
        <v>0</v>
      </c>
      <c r="C79" s="256">
        <f t="shared" si="7"/>
        <v>0</v>
      </c>
      <c r="D79" s="256">
        <f t="shared" si="8"/>
        <v>0</v>
      </c>
      <c r="E79" s="256">
        <f t="shared" si="9"/>
        <v>0</v>
      </c>
      <c r="F79" s="256">
        <f t="shared" si="10"/>
        <v>0</v>
      </c>
      <c r="G79" s="256">
        <f t="shared" si="11"/>
        <v>0</v>
      </c>
      <c r="H79" s="256">
        <f t="shared" si="12"/>
        <v>0</v>
      </c>
    </row>
    <row r="80" spans="1:8">
      <c r="A80" s="80">
        <f t="shared" si="5"/>
        <v>0</v>
      </c>
      <c r="B80" s="256">
        <f t="shared" si="6"/>
        <v>0</v>
      </c>
      <c r="C80" s="256">
        <f t="shared" si="7"/>
        <v>0</v>
      </c>
      <c r="D80" s="256">
        <f t="shared" si="8"/>
        <v>0</v>
      </c>
      <c r="E80" s="256">
        <f t="shared" si="9"/>
        <v>0</v>
      </c>
      <c r="F80" s="256">
        <f t="shared" si="10"/>
        <v>0</v>
      </c>
      <c r="G80" s="256">
        <f t="shared" si="11"/>
        <v>0</v>
      </c>
      <c r="H80" s="256">
        <f t="shared" si="12"/>
        <v>0</v>
      </c>
    </row>
    <row r="81" spans="1:12">
      <c r="A81" s="80">
        <f t="shared" si="5"/>
        <v>0</v>
      </c>
      <c r="B81" s="256">
        <f t="shared" si="6"/>
        <v>0</v>
      </c>
      <c r="C81" s="256">
        <f t="shared" si="7"/>
        <v>0</v>
      </c>
      <c r="D81" s="256">
        <f t="shared" si="8"/>
        <v>0</v>
      </c>
      <c r="E81" s="256">
        <f t="shared" si="9"/>
        <v>0</v>
      </c>
      <c r="F81" s="256">
        <f t="shared" si="10"/>
        <v>0</v>
      </c>
      <c r="G81" s="256">
        <f t="shared" si="11"/>
        <v>0</v>
      </c>
      <c r="H81" s="256">
        <f t="shared" si="12"/>
        <v>0</v>
      </c>
    </row>
    <row r="82" spans="1:12">
      <c r="A82" s="80">
        <f t="shared" si="5"/>
        <v>0</v>
      </c>
      <c r="B82" s="256">
        <f t="shared" si="6"/>
        <v>0</v>
      </c>
      <c r="C82" s="256">
        <f t="shared" si="7"/>
        <v>0</v>
      </c>
      <c r="D82" s="256">
        <f t="shared" si="8"/>
        <v>0</v>
      </c>
      <c r="E82" s="256">
        <f t="shared" si="9"/>
        <v>0</v>
      </c>
      <c r="F82" s="256">
        <f t="shared" si="10"/>
        <v>0</v>
      </c>
      <c r="G82" s="256">
        <f t="shared" si="11"/>
        <v>0</v>
      </c>
      <c r="H82" s="256">
        <f t="shared" si="12"/>
        <v>0</v>
      </c>
    </row>
    <row r="83" spans="1:12">
      <c r="A83" s="80">
        <f t="shared" si="5"/>
        <v>0</v>
      </c>
      <c r="B83" s="256">
        <f t="shared" si="6"/>
        <v>0</v>
      </c>
      <c r="C83" s="256">
        <f t="shared" si="7"/>
        <v>0</v>
      </c>
      <c r="D83" s="256">
        <f t="shared" si="8"/>
        <v>0</v>
      </c>
      <c r="E83" s="256">
        <f t="shared" si="9"/>
        <v>0</v>
      </c>
      <c r="F83" s="256">
        <f t="shared" si="10"/>
        <v>0</v>
      </c>
      <c r="G83" s="256">
        <f t="shared" si="11"/>
        <v>0</v>
      </c>
      <c r="H83" s="256">
        <f t="shared" si="12"/>
        <v>0</v>
      </c>
    </row>
    <row r="84" spans="1:12">
      <c r="A84" s="80">
        <f t="shared" si="5"/>
        <v>0</v>
      </c>
      <c r="B84" s="256">
        <f t="shared" si="6"/>
        <v>0</v>
      </c>
      <c r="C84" s="256">
        <f t="shared" ref="C84:H89" si="13">C27*$B$63</f>
        <v>0</v>
      </c>
      <c r="D84" s="256">
        <f t="shared" si="13"/>
        <v>0</v>
      </c>
      <c r="E84" s="256">
        <f t="shared" si="13"/>
        <v>0</v>
      </c>
      <c r="F84" s="256">
        <f t="shared" si="13"/>
        <v>0</v>
      </c>
      <c r="G84" s="256">
        <f t="shared" si="13"/>
        <v>0</v>
      </c>
      <c r="H84" s="256">
        <f t="shared" si="13"/>
        <v>0</v>
      </c>
    </row>
    <row r="85" spans="1:12">
      <c r="A85" s="80">
        <f t="shared" si="5"/>
        <v>0</v>
      </c>
      <c r="B85" s="256">
        <f t="shared" si="6"/>
        <v>0</v>
      </c>
      <c r="C85" s="256">
        <f t="shared" si="13"/>
        <v>0</v>
      </c>
      <c r="D85" s="256">
        <f t="shared" si="13"/>
        <v>0</v>
      </c>
      <c r="E85" s="256">
        <f t="shared" si="13"/>
        <v>0</v>
      </c>
      <c r="F85" s="256">
        <f t="shared" si="13"/>
        <v>0</v>
      </c>
      <c r="G85" s="256">
        <f t="shared" si="13"/>
        <v>0</v>
      </c>
      <c r="H85" s="256">
        <f t="shared" si="13"/>
        <v>0</v>
      </c>
    </row>
    <row r="86" spans="1:12">
      <c r="A86" s="80">
        <f t="shared" si="5"/>
        <v>0</v>
      </c>
      <c r="B86" s="256">
        <f t="shared" si="6"/>
        <v>0</v>
      </c>
      <c r="C86" s="256">
        <f t="shared" si="13"/>
        <v>0</v>
      </c>
      <c r="D86" s="256">
        <f t="shared" si="13"/>
        <v>0</v>
      </c>
      <c r="E86" s="256">
        <f t="shared" si="13"/>
        <v>0</v>
      </c>
      <c r="F86" s="256">
        <f t="shared" si="13"/>
        <v>0</v>
      </c>
      <c r="G86" s="256">
        <f t="shared" si="13"/>
        <v>0</v>
      </c>
      <c r="H86" s="256">
        <f t="shared" si="13"/>
        <v>0</v>
      </c>
    </row>
    <row r="87" spans="1:12">
      <c r="A87" s="80">
        <f t="shared" si="5"/>
        <v>0</v>
      </c>
      <c r="B87" s="256">
        <f t="shared" si="6"/>
        <v>0</v>
      </c>
      <c r="C87" s="256">
        <f t="shared" si="13"/>
        <v>0</v>
      </c>
      <c r="D87" s="256">
        <f t="shared" si="13"/>
        <v>0</v>
      </c>
      <c r="E87" s="256">
        <f t="shared" si="13"/>
        <v>0</v>
      </c>
      <c r="F87" s="256">
        <f t="shared" si="13"/>
        <v>0</v>
      </c>
      <c r="G87" s="256">
        <f t="shared" si="13"/>
        <v>0</v>
      </c>
      <c r="H87" s="256">
        <f t="shared" si="13"/>
        <v>0</v>
      </c>
    </row>
    <row r="88" spans="1:12">
      <c r="A88" s="80">
        <f t="shared" si="5"/>
        <v>0</v>
      </c>
      <c r="B88" s="256">
        <f t="shared" si="6"/>
        <v>0</v>
      </c>
      <c r="C88" s="256">
        <f t="shared" si="13"/>
        <v>0</v>
      </c>
      <c r="D88" s="256">
        <f t="shared" si="13"/>
        <v>0</v>
      </c>
      <c r="E88" s="256">
        <f t="shared" si="13"/>
        <v>0</v>
      </c>
      <c r="F88" s="256">
        <f t="shared" si="13"/>
        <v>0</v>
      </c>
      <c r="G88" s="256">
        <f t="shared" si="13"/>
        <v>0</v>
      </c>
      <c r="H88" s="256">
        <f t="shared" si="13"/>
        <v>0</v>
      </c>
    </row>
    <row r="89" spans="1:12">
      <c r="A89" s="80">
        <f t="shared" si="5"/>
        <v>0</v>
      </c>
      <c r="B89" s="256">
        <f t="shared" si="6"/>
        <v>0</v>
      </c>
      <c r="C89" s="256">
        <f t="shared" si="13"/>
        <v>0</v>
      </c>
      <c r="D89" s="256">
        <f t="shared" si="13"/>
        <v>0</v>
      </c>
      <c r="E89" s="256">
        <f t="shared" si="13"/>
        <v>0</v>
      </c>
      <c r="F89" s="256">
        <f t="shared" si="13"/>
        <v>0</v>
      </c>
      <c r="G89" s="256">
        <f t="shared" si="13"/>
        <v>0</v>
      </c>
      <c r="H89" s="256">
        <f t="shared" si="13"/>
        <v>0</v>
      </c>
    </row>
    <row r="90" spans="1:12">
      <c r="A90" s="80"/>
      <c r="B90" s="256"/>
      <c r="C90" s="256"/>
      <c r="D90" s="256"/>
      <c r="E90" s="256"/>
      <c r="F90" s="256"/>
      <c r="G90" s="256"/>
      <c r="H90" s="256"/>
      <c r="J90" s="275"/>
      <c r="K90" s="275"/>
      <c r="L90" s="275"/>
    </row>
    <row r="91" spans="1:12">
      <c r="A91" s="80" t="str">
        <f t="shared" ref="A91:A109" si="14">A34</f>
        <v>Grains Crops and  Production Details</v>
      </c>
      <c r="B91" s="256"/>
      <c r="C91" s="256"/>
      <c r="D91" s="256"/>
      <c r="E91" s="256"/>
      <c r="F91" s="256"/>
      <c r="G91" s="256"/>
      <c r="H91" s="256"/>
      <c r="J91" s="275"/>
      <c r="K91" s="275"/>
      <c r="L91" s="275"/>
    </row>
    <row r="92" spans="1:12">
      <c r="A92" s="80" t="str">
        <f t="shared" si="14"/>
        <v>Flax seed</v>
      </c>
      <c r="B92" s="256">
        <f t="shared" ref="B92:H101" si="15">B35</f>
        <v>103.45964912280702</v>
      </c>
      <c r="C92" s="256">
        <f t="shared" si="15"/>
        <v>113.44561403508774</v>
      </c>
      <c r="D92" s="256">
        <f t="shared" si="15"/>
        <v>123.43157894736844</v>
      </c>
      <c r="E92" s="256">
        <f t="shared" si="15"/>
        <v>133.41754385964916</v>
      </c>
      <c r="F92" s="256">
        <f t="shared" si="15"/>
        <v>143.40350877192986</v>
      </c>
      <c r="G92" s="256">
        <f t="shared" si="15"/>
        <v>153.38947368421057</v>
      </c>
      <c r="H92" s="256">
        <f t="shared" si="15"/>
        <v>163.37543859649128</v>
      </c>
      <c r="J92" s="275"/>
      <c r="K92" s="275"/>
      <c r="L92" s="275"/>
    </row>
    <row r="93" spans="1:12">
      <c r="A93" s="80" t="e">
        <f t="shared" si="14"/>
        <v>#REF!</v>
      </c>
      <c r="B93" s="256" t="e">
        <f t="shared" si="15"/>
        <v>#REF!</v>
      </c>
      <c r="C93" s="256" t="e">
        <f t="shared" si="15"/>
        <v>#REF!</v>
      </c>
      <c r="D93" s="256" t="e">
        <f t="shared" si="15"/>
        <v>#REF!</v>
      </c>
      <c r="E93" s="256" t="e">
        <f t="shared" si="15"/>
        <v>#REF!</v>
      </c>
      <c r="F93" s="256" t="e">
        <f t="shared" si="15"/>
        <v>#REF!</v>
      </c>
      <c r="G93" s="256" t="e">
        <f t="shared" si="15"/>
        <v>#REF!</v>
      </c>
      <c r="H93" s="256" t="e">
        <f t="shared" si="15"/>
        <v>#REF!</v>
      </c>
      <c r="J93" s="275"/>
      <c r="K93" s="275"/>
      <c r="L93" s="275"/>
    </row>
    <row r="94" spans="1:12">
      <c r="A94" s="80" t="e">
        <f t="shared" si="14"/>
        <v>#REF!</v>
      </c>
      <c r="B94" s="256" t="e">
        <f t="shared" si="15"/>
        <v>#REF!</v>
      </c>
      <c r="C94" s="256" t="e">
        <f t="shared" si="15"/>
        <v>#REF!</v>
      </c>
      <c r="D94" s="256" t="e">
        <f t="shared" si="15"/>
        <v>#REF!</v>
      </c>
      <c r="E94" s="256" t="e">
        <f t="shared" si="15"/>
        <v>#REF!</v>
      </c>
      <c r="F94" s="256" t="e">
        <f t="shared" si="15"/>
        <v>#REF!</v>
      </c>
      <c r="G94" s="256" t="e">
        <f t="shared" si="15"/>
        <v>#REF!</v>
      </c>
      <c r="H94" s="256" t="e">
        <f t="shared" si="15"/>
        <v>#REF!</v>
      </c>
      <c r="J94" s="275"/>
      <c r="K94" s="275"/>
      <c r="L94" s="275"/>
    </row>
    <row r="95" spans="1:12">
      <c r="A95" s="80" t="str">
        <f t="shared" si="14"/>
        <v xml:space="preserve">Safflower Seed </v>
      </c>
      <c r="B95" s="256">
        <f t="shared" si="15"/>
        <v>51.729824561403511</v>
      </c>
      <c r="C95" s="256">
        <f t="shared" si="15"/>
        <v>56.722807017543872</v>
      </c>
      <c r="D95" s="256">
        <f t="shared" si="15"/>
        <v>61.715789473684218</v>
      </c>
      <c r="E95" s="256">
        <f t="shared" si="15"/>
        <v>66.708771929824579</v>
      </c>
      <c r="F95" s="256">
        <f t="shared" si="15"/>
        <v>71.701754385964932</v>
      </c>
      <c r="G95" s="256">
        <f t="shared" si="15"/>
        <v>76.694736842105286</v>
      </c>
      <c r="H95" s="256">
        <f t="shared" si="15"/>
        <v>81.687719298245639</v>
      </c>
      <c r="J95" s="275"/>
      <c r="K95" s="275"/>
      <c r="L95" s="275"/>
    </row>
    <row r="96" spans="1:12">
      <c r="A96" s="80" t="e">
        <f t="shared" si="14"/>
        <v>#REF!</v>
      </c>
      <c r="B96" s="256" t="e">
        <f t="shared" si="15"/>
        <v>#REF!</v>
      </c>
      <c r="C96" s="256" t="e">
        <f t="shared" si="15"/>
        <v>#REF!</v>
      </c>
      <c r="D96" s="256" t="e">
        <f t="shared" si="15"/>
        <v>#REF!</v>
      </c>
      <c r="E96" s="256" t="e">
        <f t="shared" si="15"/>
        <v>#REF!</v>
      </c>
      <c r="F96" s="256" t="e">
        <f t="shared" si="15"/>
        <v>#REF!</v>
      </c>
      <c r="G96" s="256" t="e">
        <f t="shared" si="15"/>
        <v>#REF!</v>
      </c>
      <c r="H96" s="256" t="e">
        <f t="shared" si="15"/>
        <v>#REF!</v>
      </c>
      <c r="J96" s="275"/>
      <c r="K96" s="275"/>
      <c r="L96" s="275"/>
    </row>
    <row r="97" spans="1:12">
      <c r="A97" s="80" t="e">
        <f t="shared" si="14"/>
        <v>#REF!</v>
      </c>
      <c r="B97" s="256" t="e">
        <f t="shared" si="15"/>
        <v>#REF!</v>
      </c>
      <c r="C97" s="256" t="e">
        <f t="shared" si="15"/>
        <v>#REF!</v>
      </c>
      <c r="D97" s="256" t="e">
        <f t="shared" si="15"/>
        <v>#REF!</v>
      </c>
      <c r="E97" s="256" t="e">
        <f t="shared" si="15"/>
        <v>#REF!</v>
      </c>
      <c r="F97" s="256" t="e">
        <f t="shared" si="15"/>
        <v>#REF!</v>
      </c>
      <c r="G97" s="256" t="e">
        <f t="shared" si="15"/>
        <v>#REF!</v>
      </c>
      <c r="H97" s="256" t="e">
        <f t="shared" si="15"/>
        <v>#REF!</v>
      </c>
      <c r="J97" s="275"/>
      <c r="K97" s="275"/>
      <c r="L97" s="275"/>
    </row>
    <row r="98" spans="1:12">
      <c r="A98" s="80" t="e">
        <f t="shared" si="14"/>
        <v>#REF!</v>
      </c>
      <c r="B98" s="256" t="e">
        <f t="shared" si="15"/>
        <v>#REF!</v>
      </c>
      <c r="C98" s="256" t="e">
        <f t="shared" si="15"/>
        <v>#REF!</v>
      </c>
      <c r="D98" s="256" t="e">
        <f t="shared" si="15"/>
        <v>#REF!</v>
      </c>
      <c r="E98" s="256" t="e">
        <f t="shared" si="15"/>
        <v>#REF!</v>
      </c>
      <c r="F98" s="256" t="e">
        <f t="shared" si="15"/>
        <v>#REF!</v>
      </c>
      <c r="G98" s="256" t="e">
        <f t="shared" si="15"/>
        <v>#REF!</v>
      </c>
      <c r="H98" s="256" t="e">
        <f t="shared" si="15"/>
        <v>#REF!</v>
      </c>
      <c r="J98" s="275"/>
      <c r="K98" s="275"/>
      <c r="L98" s="275"/>
    </row>
    <row r="99" spans="1:12">
      <c r="A99" s="80" t="e">
        <f t="shared" si="14"/>
        <v>#REF!</v>
      </c>
      <c r="B99" s="256" t="e">
        <f t="shared" si="15"/>
        <v>#REF!</v>
      </c>
      <c r="C99" s="256" t="e">
        <f t="shared" si="15"/>
        <v>#REF!</v>
      </c>
      <c r="D99" s="256" t="e">
        <f t="shared" si="15"/>
        <v>#REF!</v>
      </c>
      <c r="E99" s="256" t="e">
        <f t="shared" si="15"/>
        <v>#REF!</v>
      </c>
      <c r="F99" s="256" t="e">
        <f t="shared" si="15"/>
        <v>#REF!</v>
      </c>
      <c r="G99" s="256" t="e">
        <f t="shared" si="15"/>
        <v>#REF!</v>
      </c>
      <c r="H99" s="256" t="e">
        <f t="shared" si="15"/>
        <v>#REF!</v>
      </c>
      <c r="J99" s="275"/>
      <c r="K99" s="275"/>
      <c r="L99" s="275"/>
    </row>
    <row r="100" spans="1:12">
      <c r="A100" s="80" t="e">
        <f t="shared" si="14"/>
        <v>#REF!</v>
      </c>
      <c r="B100" s="256" t="e">
        <f t="shared" si="15"/>
        <v>#REF!</v>
      </c>
      <c r="C100" s="256" t="e">
        <f t="shared" si="15"/>
        <v>#REF!</v>
      </c>
      <c r="D100" s="256" t="e">
        <f t="shared" si="15"/>
        <v>#REF!</v>
      </c>
      <c r="E100" s="256" t="e">
        <f t="shared" si="15"/>
        <v>#REF!</v>
      </c>
      <c r="F100" s="256" t="e">
        <f t="shared" si="15"/>
        <v>#REF!</v>
      </c>
      <c r="G100" s="256" t="e">
        <f t="shared" si="15"/>
        <v>#REF!</v>
      </c>
      <c r="H100" s="256" t="e">
        <f t="shared" si="15"/>
        <v>#REF!</v>
      </c>
      <c r="J100" s="275"/>
      <c r="K100" s="275"/>
      <c r="L100" s="275"/>
    </row>
    <row r="101" spans="1:12">
      <c r="A101" s="80" t="e">
        <f t="shared" si="14"/>
        <v>#REF!</v>
      </c>
      <c r="B101" s="256" t="e">
        <f t="shared" si="15"/>
        <v>#REF!</v>
      </c>
      <c r="C101" s="256" t="e">
        <f t="shared" si="15"/>
        <v>#REF!</v>
      </c>
      <c r="D101" s="256" t="e">
        <f t="shared" si="15"/>
        <v>#REF!</v>
      </c>
      <c r="E101" s="256" t="e">
        <f t="shared" si="15"/>
        <v>#REF!</v>
      </c>
      <c r="F101" s="256" t="e">
        <f t="shared" si="15"/>
        <v>#REF!</v>
      </c>
      <c r="G101" s="256" t="e">
        <f t="shared" si="15"/>
        <v>#REF!</v>
      </c>
      <c r="H101" s="256" t="e">
        <f t="shared" si="15"/>
        <v>#REF!</v>
      </c>
      <c r="J101" s="275"/>
      <c r="K101" s="275"/>
      <c r="L101" s="275"/>
    </row>
    <row r="102" spans="1:12">
      <c r="A102" s="80" t="e">
        <f t="shared" si="14"/>
        <v>#REF!</v>
      </c>
      <c r="B102" s="256" t="e">
        <f t="shared" ref="B102:H109" si="16">B45</f>
        <v>#REF!</v>
      </c>
      <c r="C102" s="256" t="e">
        <f t="shared" si="16"/>
        <v>#REF!</v>
      </c>
      <c r="D102" s="256" t="e">
        <f t="shared" si="16"/>
        <v>#REF!</v>
      </c>
      <c r="E102" s="256" t="e">
        <f t="shared" si="16"/>
        <v>#REF!</v>
      </c>
      <c r="F102" s="256" t="e">
        <f t="shared" si="16"/>
        <v>#REF!</v>
      </c>
      <c r="G102" s="256" t="e">
        <f t="shared" si="16"/>
        <v>#REF!</v>
      </c>
      <c r="H102" s="256" t="e">
        <f t="shared" si="16"/>
        <v>#REF!</v>
      </c>
      <c r="J102" s="275"/>
      <c r="K102" s="275"/>
      <c r="L102" s="275"/>
    </row>
    <row r="103" spans="1:12">
      <c r="A103" s="80" t="e">
        <f t="shared" si="14"/>
        <v>#REF!</v>
      </c>
      <c r="B103" s="256" t="e">
        <f t="shared" si="16"/>
        <v>#REF!</v>
      </c>
      <c r="C103" s="256" t="e">
        <f t="shared" si="16"/>
        <v>#REF!</v>
      </c>
      <c r="D103" s="256" t="e">
        <f t="shared" si="16"/>
        <v>#REF!</v>
      </c>
      <c r="E103" s="256" t="e">
        <f t="shared" si="16"/>
        <v>#REF!</v>
      </c>
      <c r="F103" s="256" t="e">
        <f t="shared" si="16"/>
        <v>#REF!</v>
      </c>
      <c r="G103" s="256" t="e">
        <f t="shared" si="16"/>
        <v>#REF!</v>
      </c>
      <c r="H103" s="256" t="e">
        <f t="shared" si="16"/>
        <v>#REF!</v>
      </c>
      <c r="J103" s="275"/>
      <c r="K103" s="275"/>
      <c r="L103" s="275"/>
    </row>
    <row r="104" spans="1:12">
      <c r="A104" s="80" t="e">
        <f t="shared" si="14"/>
        <v>#REF!</v>
      </c>
      <c r="B104" s="256" t="e">
        <f t="shared" si="16"/>
        <v>#REF!</v>
      </c>
      <c r="C104" s="256" t="e">
        <f t="shared" si="16"/>
        <v>#REF!</v>
      </c>
      <c r="D104" s="256" t="e">
        <f t="shared" si="16"/>
        <v>#REF!</v>
      </c>
      <c r="E104" s="256" t="e">
        <f t="shared" si="16"/>
        <v>#REF!</v>
      </c>
      <c r="F104" s="256" t="e">
        <f t="shared" si="16"/>
        <v>#REF!</v>
      </c>
      <c r="G104" s="256" t="e">
        <f t="shared" si="16"/>
        <v>#REF!</v>
      </c>
      <c r="H104" s="256" t="e">
        <f t="shared" si="16"/>
        <v>#REF!</v>
      </c>
      <c r="J104" s="275"/>
      <c r="K104" s="275"/>
      <c r="L104" s="275"/>
    </row>
    <row r="105" spans="1:12">
      <c r="A105" s="80" t="e">
        <f t="shared" si="14"/>
        <v>#REF!</v>
      </c>
      <c r="B105" s="256" t="e">
        <f t="shared" si="16"/>
        <v>#REF!</v>
      </c>
      <c r="C105" s="256" t="e">
        <f t="shared" si="16"/>
        <v>#REF!</v>
      </c>
      <c r="D105" s="256" t="e">
        <f t="shared" si="16"/>
        <v>#REF!</v>
      </c>
      <c r="E105" s="256" t="e">
        <f t="shared" si="16"/>
        <v>#REF!</v>
      </c>
      <c r="F105" s="256" t="e">
        <f t="shared" si="16"/>
        <v>#REF!</v>
      </c>
      <c r="G105" s="256" t="e">
        <f t="shared" si="16"/>
        <v>#REF!</v>
      </c>
      <c r="H105" s="256" t="e">
        <f t="shared" si="16"/>
        <v>#REF!</v>
      </c>
      <c r="J105" s="275"/>
      <c r="K105" s="275"/>
      <c r="L105" s="275"/>
    </row>
    <row r="106" spans="1:12">
      <c r="A106" s="80" t="e">
        <f t="shared" si="14"/>
        <v>#REF!</v>
      </c>
      <c r="B106" s="256" t="e">
        <f t="shared" si="16"/>
        <v>#REF!</v>
      </c>
      <c r="C106" s="256" t="e">
        <f t="shared" si="16"/>
        <v>#REF!</v>
      </c>
      <c r="D106" s="256" t="e">
        <f t="shared" si="16"/>
        <v>#REF!</v>
      </c>
      <c r="E106" s="256" t="e">
        <f t="shared" si="16"/>
        <v>#REF!</v>
      </c>
      <c r="F106" s="256" t="e">
        <f t="shared" si="16"/>
        <v>#REF!</v>
      </c>
      <c r="G106" s="256" t="e">
        <f t="shared" si="16"/>
        <v>#REF!</v>
      </c>
      <c r="H106" s="256" t="e">
        <f t="shared" si="16"/>
        <v>#REF!</v>
      </c>
      <c r="J106" s="275"/>
      <c r="K106" s="275"/>
      <c r="L106" s="275"/>
    </row>
    <row r="107" spans="1:12">
      <c r="A107" s="80" t="e">
        <f t="shared" si="14"/>
        <v>#REF!</v>
      </c>
      <c r="B107" s="256" t="e">
        <f t="shared" si="16"/>
        <v>#REF!</v>
      </c>
      <c r="C107" s="256" t="e">
        <f t="shared" si="16"/>
        <v>#REF!</v>
      </c>
      <c r="D107" s="256" t="e">
        <f t="shared" si="16"/>
        <v>#REF!</v>
      </c>
      <c r="E107" s="256" t="e">
        <f t="shared" si="16"/>
        <v>#REF!</v>
      </c>
      <c r="F107" s="256" t="e">
        <f t="shared" si="16"/>
        <v>#REF!</v>
      </c>
      <c r="G107" s="256" t="e">
        <f t="shared" si="16"/>
        <v>#REF!</v>
      </c>
      <c r="H107" s="256" t="e">
        <f t="shared" si="16"/>
        <v>#REF!</v>
      </c>
      <c r="J107" s="275"/>
      <c r="K107" s="275"/>
      <c r="L107" s="275"/>
    </row>
    <row r="108" spans="1:12">
      <c r="A108" s="80" t="e">
        <f t="shared" si="14"/>
        <v>#REF!</v>
      </c>
      <c r="B108" s="256" t="e">
        <f t="shared" si="16"/>
        <v>#REF!</v>
      </c>
      <c r="C108" s="256" t="e">
        <f t="shared" si="16"/>
        <v>#REF!</v>
      </c>
      <c r="D108" s="256" t="e">
        <f t="shared" si="16"/>
        <v>#REF!</v>
      </c>
      <c r="E108" s="256" t="e">
        <f t="shared" si="16"/>
        <v>#REF!</v>
      </c>
      <c r="F108" s="256" t="e">
        <f t="shared" si="16"/>
        <v>#REF!</v>
      </c>
      <c r="G108" s="256" t="e">
        <f t="shared" si="16"/>
        <v>#REF!</v>
      </c>
      <c r="H108" s="256" t="e">
        <f t="shared" si="16"/>
        <v>#REF!</v>
      </c>
      <c r="J108" s="275"/>
      <c r="K108" s="275"/>
      <c r="L108" s="275"/>
    </row>
    <row r="109" spans="1:12">
      <c r="A109" s="80" t="e">
        <f t="shared" si="14"/>
        <v>#REF!</v>
      </c>
      <c r="B109" s="256" t="e">
        <f t="shared" si="16"/>
        <v>#REF!</v>
      </c>
      <c r="C109" s="256" t="e">
        <f t="shared" si="16"/>
        <v>#REF!</v>
      </c>
      <c r="D109" s="256" t="e">
        <f t="shared" si="16"/>
        <v>#REF!</v>
      </c>
      <c r="E109" s="256" t="e">
        <f t="shared" si="16"/>
        <v>#REF!</v>
      </c>
      <c r="F109" s="256" t="e">
        <f t="shared" si="16"/>
        <v>#REF!</v>
      </c>
      <c r="G109" s="256" t="e">
        <f t="shared" si="16"/>
        <v>#REF!</v>
      </c>
      <c r="H109" s="256" t="e">
        <f t="shared" si="16"/>
        <v>#REF!</v>
      </c>
      <c r="J109" s="275"/>
      <c r="K109" s="275"/>
      <c r="L109" s="275"/>
    </row>
    <row r="110" spans="1:12">
      <c r="A110" s="80" t="e">
        <f t="shared" ref="A110:A113" si="17">A53</f>
        <v>#REF!</v>
      </c>
      <c r="B110" s="256"/>
      <c r="C110" s="256"/>
      <c r="D110" s="256"/>
      <c r="E110" s="256"/>
      <c r="F110" s="256"/>
      <c r="G110" s="256"/>
      <c r="H110" s="256"/>
      <c r="J110" s="275"/>
      <c r="K110" s="275"/>
      <c r="L110" s="275"/>
    </row>
    <row r="111" spans="1:12">
      <c r="A111" s="80" t="e">
        <f t="shared" si="17"/>
        <v>#REF!</v>
      </c>
      <c r="B111" s="256"/>
      <c r="C111" s="256"/>
      <c r="D111" s="256"/>
      <c r="E111" s="256"/>
      <c r="F111" s="256"/>
      <c r="G111" s="256"/>
      <c r="H111" s="256"/>
      <c r="J111" s="275"/>
      <c r="K111" s="275"/>
      <c r="L111" s="275"/>
    </row>
    <row r="112" spans="1:12">
      <c r="A112" s="80" t="e">
        <f t="shared" si="17"/>
        <v>#REF!</v>
      </c>
      <c r="B112" s="256"/>
      <c r="C112" s="256"/>
      <c r="D112" s="256"/>
      <c r="E112" s="256"/>
      <c r="F112" s="256"/>
      <c r="G112" s="256"/>
      <c r="H112" s="256"/>
      <c r="J112" s="275"/>
      <c r="K112" s="275"/>
      <c r="L112" s="275"/>
    </row>
    <row r="113" spans="1:12">
      <c r="A113" s="80" t="e">
        <f t="shared" si="17"/>
        <v>#REF!</v>
      </c>
      <c r="B113" s="256" t="e">
        <f t="shared" ref="B113:H116" si="18">B56</f>
        <v>#REF!</v>
      </c>
      <c r="C113" s="256" t="e">
        <f t="shared" si="18"/>
        <v>#REF!</v>
      </c>
      <c r="D113" s="256" t="e">
        <f t="shared" si="18"/>
        <v>#REF!</v>
      </c>
      <c r="E113" s="256" t="e">
        <f t="shared" si="18"/>
        <v>#REF!</v>
      </c>
      <c r="F113" s="256" t="e">
        <f t="shared" si="18"/>
        <v>#REF!</v>
      </c>
      <c r="G113" s="256" t="e">
        <f t="shared" si="18"/>
        <v>#REF!</v>
      </c>
      <c r="H113" s="256" t="e">
        <f t="shared" si="18"/>
        <v>#REF!</v>
      </c>
      <c r="J113" s="275"/>
      <c r="K113" s="275"/>
      <c r="L113" s="275"/>
    </row>
    <row r="114" spans="1:12">
      <c r="A114" s="80" t="e">
        <f>A57</f>
        <v>#REF!</v>
      </c>
      <c r="B114" s="256" t="e">
        <f t="shared" si="18"/>
        <v>#REF!</v>
      </c>
      <c r="C114" s="256" t="e">
        <f t="shared" si="18"/>
        <v>#REF!</v>
      </c>
      <c r="D114" s="256" t="e">
        <f t="shared" si="18"/>
        <v>#REF!</v>
      </c>
      <c r="E114" s="256" t="e">
        <f t="shared" si="18"/>
        <v>#REF!</v>
      </c>
      <c r="F114" s="256" t="e">
        <f t="shared" si="18"/>
        <v>#REF!</v>
      </c>
      <c r="G114" s="256" t="e">
        <f t="shared" si="18"/>
        <v>#REF!</v>
      </c>
      <c r="H114" s="256" t="e">
        <f t="shared" si="18"/>
        <v>#REF!</v>
      </c>
      <c r="J114" s="275"/>
      <c r="K114" s="275"/>
      <c r="L114" s="275"/>
    </row>
    <row r="115" spans="1:12">
      <c r="A115" s="80" t="e">
        <f>A58</f>
        <v>#REF!</v>
      </c>
      <c r="B115" s="256" t="e">
        <f t="shared" si="18"/>
        <v>#REF!</v>
      </c>
      <c r="C115" s="256" t="e">
        <f t="shared" si="18"/>
        <v>#REF!</v>
      </c>
      <c r="D115" s="256" t="e">
        <f t="shared" si="18"/>
        <v>#REF!</v>
      </c>
      <c r="E115" s="256" t="e">
        <f t="shared" si="18"/>
        <v>#REF!</v>
      </c>
      <c r="F115" s="256" t="e">
        <f t="shared" si="18"/>
        <v>#REF!</v>
      </c>
      <c r="G115" s="256" t="e">
        <f t="shared" si="18"/>
        <v>#REF!</v>
      </c>
      <c r="H115" s="256" t="e">
        <f t="shared" si="18"/>
        <v>#REF!</v>
      </c>
      <c r="J115" s="275"/>
      <c r="K115" s="275"/>
      <c r="L115" s="275"/>
    </row>
    <row r="116" spans="1:12">
      <c r="A116" s="80" t="e">
        <f>A59</f>
        <v>#REF!</v>
      </c>
      <c r="B116" s="256" t="e">
        <f t="shared" si="18"/>
        <v>#REF!</v>
      </c>
      <c r="C116" s="256" t="e">
        <f t="shared" si="18"/>
        <v>#REF!</v>
      </c>
      <c r="D116" s="256" t="e">
        <f t="shared" si="18"/>
        <v>#REF!</v>
      </c>
      <c r="E116" s="256" t="e">
        <f t="shared" si="18"/>
        <v>#REF!</v>
      </c>
      <c r="F116" s="256" t="e">
        <f t="shared" si="18"/>
        <v>#REF!</v>
      </c>
      <c r="G116" s="256" t="e">
        <f t="shared" si="18"/>
        <v>#REF!</v>
      </c>
      <c r="H116" s="256" t="e">
        <f t="shared" si="18"/>
        <v>#REF!</v>
      </c>
      <c r="J116" s="275"/>
      <c r="K116" s="275"/>
      <c r="L116" s="275"/>
    </row>
    <row r="117" spans="1:12">
      <c r="A117" s="80"/>
      <c r="B117" s="256"/>
      <c r="C117" s="256"/>
      <c r="D117" s="256"/>
      <c r="E117" s="256"/>
      <c r="F117" s="256"/>
      <c r="G117" s="256"/>
      <c r="H117" s="256"/>
      <c r="J117" s="275"/>
      <c r="K117" s="275"/>
      <c r="L117" s="275"/>
    </row>
    <row r="118" spans="1:12">
      <c r="A118" s="80"/>
      <c r="B118" s="256"/>
      <c r="C118" s="256"/>
      <c r="D118" s="256"/>
      <c r="E118" s="256"/>
      <c r="F118" s="256"/>
      <c r="G118" s="256"/>
      <c r="H118" s="256"/>
      <c r="J118" s="275"/>
      <c r="K118" s="275"/>
      <c r="L118" s="275"/>
    </row>
    <row r="119" spans="1:12">
      <c r="A119" s="86" t="s">
        <v>135</v>
      </c>
      <c r="B119" s="80"/>
      <c r="C119" s="80"/>
      <c r="D119" s="80"/>
      <c r="E119" s="80"/>
      <c r="F119" s="80"/>
      <c r="G119" s="80"/>
      <c r="H119" s="80"/>
    </row>
    <row r="120" spans="1:12">
      <c r="A120" s="84" t="str">
        <f t="shared" ref="A120:A141" si="19">A68</f>
        <v>Particulars</v>
      </c>
      <c r="B120" s="257">
        <f t="shared" ref="B120:H129" si="20">B68-(B68*$G$6)</f>
        <v>0.48499999999999999</v>
      </c>
      <c r="C120" s="257">
        <f t="shared" si="20"/>
        <v>0.48499999999999999</v>
      </c>
      <c r="D120" s="257">
        <f t="shared" si="20"/>
        <v>0.48499999999999999</v>
      </c>
      <c r="E120" s="257">
        <f t="shared" si="20"/>
        <v>0.48499999999999999</v>
      </c>
      <c r="F120" s="257">
        <f t="shared" si="20"/>
        <v>0.48499999999999999</v>
      </c>
      <c r="G120" s="257">
        <f t="shared" si="20"/>
        <v>0.48499999999999999</v>
      </c>
      <c r="H120" s="257">
        <f t="shared" si="20"/>
        <v>0.48499999999999999</v>
      </c>
    </row>
    <row r="121" spans="1:12">
      <c r="A121" s="84">
        <f t="shared" si="19"/>
        <v>0</v>
      </c>
      <c r="B121" s="257" t="e">
        <f t="shared" si="20"/>
        <v>#VALUE!</v>
      </c>
      <c r="C121" s="257" t="e">
        <f t="shared" si="20"/>
        <v>#VALUE!</v>
      </c>
      <c r="D121" s="257" t="e">
        <f t="shared" si="20"/>
        <v>#VALUE!</v>
      </c>
      <c r="E121" s="257" t="e">
        <f t="shared" si="20"/>
        <v>#VALUE!</v>
      </c>
      <c r="F121" s="257" t="e">
        <f t="shared" si="20"/>
        <v>#VALUE!</v>
      </c>
      <c r="G121" s="257" t="e">
        <f t="shared" si="20"/>
        <v>#VALUE!</v>
      </c>
      <c r="H121" s="257" t="e">
        <f t="shared" si="20"/>
        <v>#VALUE!</v>
      </c>
    </row>
    <row r="122" spans="1:12">
      <c r="A122" s="84">
        <f t="shared" si="19"/>
        <v>0</v>
      </c>
      <c r="B122" s="257">
        <f t="shared" si="20"/>
        <v>0</v>
      </c>
      <c r="C122" s="257">
        <f t="shared" si="20"/>
        <v>0</v>
      </c>
      <c r="D122" s="257">
        <f t="shared" si="20"/>
        <v>0</v>
      </c>
      <c r="E122" s="257">
        <f t="shared" si="20"/>
        <v>0</v>
      </c>
      <c r="F122" s="257">
        <f t="shared" si="20"/>
        <v>0</v>
      </c>
      <c r="G122" s="257">
        <f t="shared" si="20"/>
        <v>0</v>
      </c>
      <c r="H122" s="257">
        <f t="shared" si="20"/>
        <v>0</v>
      </c>
    </row>
    <row r="123" spans="1:12">
      <c r="A123" s="84" t="str">
        <f t="shared" si="19"/>
        <v>Chilli</v>
      </c>
      <c r="B123" s="257">
        <f t="shared" si="20"/>
        <v>0</v>
      </c>
      <c r="C123" s="257">
        <f t="shared" si="20"/>
        <v>0</v>
      </c>
      <c r="D123" s="257">
        <f t="shared" si="20"/>
        <v>0</v>
      </c>
      <c r="E123" s="257">
        <f t="shared" si="20"/>
        <v>0</v>
      </c>
      <c r="F123" s="257">
        <f t="shared" si="20"/>
        <v>0</v>
      </c>
      <c r="G123" s="257">
        <f t="shared" si="20"/>
        <v>0</v>
      </c>
      <c r="H123" s="257">
        <f t="shared" si="20"/>
        <v>0</v>
      </c>
    </row>
    <row r="124" spans="1:12">
      <c r="A124" s="84">
        <f t="shared" si="19"/>
        <v>0</v>
      </c>
      <c r="B124" s="257">
        <f t="shared" si="20"/>
        <v>0</v>
      </c>
      <c r="C124" s="257">
        <f t="shared" si="20"/>
        <v>0</v>
      </c>
      <c r="D124" s="257">
        <f t="shared" si="20"/>
        <v>0</v>
      </c>
      <c r="E124" s="257">
        <f t="shared" si="20"/>
        <v>0</v>
      </c>
      <c r="F124" s="257">
        <f t="shared" si="20"/>
        <v>0</v>
      </c>
      <c r="G124" s="257">
        <f t="shared" si="20"/>
        <v>0</v>
      </c>
      <c r="H124" s="257">
        <f t="shared" si="20"/>
        <v>0</v>
      </c>
    </row>
    <row r="125" spans="1:12">
      <c r="A125" s="84">
        <f t="shared" si="19"/>
        <v>0</v>
      </c>
      <c r="B125" s="257">
        <f t="shared" si="20"/>
        <v>0</v>
      </c>
      <c r="C125" s="257">
        <f t="shared" si="20"/>
        <v>0</v>
      </c>
      <c r="D125" s="257">
        <f t="shared" si="20"/>
        <v>0</v>
      </c>
      <c r="E125" s="257">
        <f t="shared" si="20"/>
        <v>0</v>
      </c>
      <c r="F125" s="257">
        <f t="shared" si="20"/>
        <v>0</v>
      </c>
      <c r="G125" s="257">
        <f t="shared" si="20"/>
        <v>0</v>
      </c>
      <c r="H125" s="257">
        <f t="shared" si="20"/>
        <v>0</v>
      </c>
    </row>
    <row r="126" spans="1:12">
      <c r="A126" s="84" t="str">
        <f t="shared" si="19"/>
        <v>Assumptions:</v>
      </c>
      <c r="B126" s="257">
        <f t="shared" si="20"/>
        <v>0</v>
      </c>
      <c r="C126" s="257">
        <f t="shared" si="20"/>
        <v>0</v>
      </c>
      <c r="D126" s="257">
        <f t="shared" si="20"/>
        <v>0</v>
      </c>
      <c r="E126" s="257">
        <f t="shared" si="20"/>
        <v>0</v>
      </c>
      <c r="F126" s="257">
        <f t="shared" si="20"/>
        <v>0</v>
      </c>
      <c r="G126" s="257">
        <f t="shared" si="20"/>
        <v>0</v>
      </c>
      <c r="H126" s="257">
        <f t="shared" si="20"/>
        <v>0</v>
      </c>
    </row>
    <row r="127" spans="1:12">
      <c r="A127" s="84">
        <f t="shared" si="19"/>
        <v>1</v>
      </c>
      <c r="B127" s="257" t="e">
        <f t="shared" si="20"/>
        <v>#VALUE!</v>
      </c>
      <c r="C127" s="257">
        <f t="shared" si="20"/>
        <v>0</v>
      </c>
      <c r="D127" s="257">
        <f t="shared" si="20"/>
        <v>0</v>
      </c>
      <c r="E127" s="257">
        <f t="shared" si="20"/>
        <v>0</v>
      </c>
      <c r="F127" s="257">
        <f t="shared" si="20"/>
        <v>0</v>
      </c>
      <c r="G127" s="257">
        <f t="shared" si="20"/>
        <v>0</v>
      </c>
      <c r="H127" s="257">
        <f t="shared" si="20"/>
        <v>0</v>
      </c>
    </row>
    <row r="128" spans="1:12">
      <c r="A128" s="84">
        <f t="shared" si="19"/>
        <v>2</v>
      </c>
      <c r="B128" s="257" t="e">
        <f t="shared" si="20"/>
        <v>#VALUE!</v>
      </c>
      <c r="C128" s="257">
        <f t="shared" si="20"/>
        <v>0</v>
      </c>
      <c r="D128" s="257">
        <f t="shared" si="20"/>
        <v>0</v>
      </c>
      <c r="E128" s="257">
        <f t="shared" si="20"/>
        <v>0</v>
      </c>
      <c r="F128" s="257">
        <f t="shared" si="20"/>
        <v>0</v>
      </c>
      <c r="G128" s="257">
        <f t="shared" si="20"/>
        <v>0</v>
      </c>
      <c r="H128" s="257">
        <f t="shared" si="20"/>
        <v>0</v>
      </c>
    </row>
    <row r="129" spans="1:8">
      <c r="A129" s="84">
        <f t="shared" si="19"/>
        <v>3</v>
      </c>
      <c r="B129" s="257" t="e">
        <f t="shared" si="20"/>
        <v>#VALUE!</v>
      </c>
      <c r="C129" s="257">
        <f t="shared" si="20"/>
        <v>0</v>
      </c>
      <c r="D129" s="257">
        <f t="shared" si="20"/>
        <v>0</v>
      </c>
      <c r="E129" s="257">
        <f t="shared" si="20"/>
        <v>0</v>
      </c>
      <c r="F129" s="257">
        <f t="shared" si="20"/>
        <v>0</v>
      </c>
      <c r="G129" s="257">
        <f t="shared" si="20"/>
        <v>0</v>
      </c>
      <c r="H129" s="257">
        <f t="shared" si="20"/>
        <v>0</v>
      </c>
    </row>
    <row r="130" spans="1:8">
      <c r="A130" s="84">
        <f t="shared" si="19"/>
        <v>0</v>
      </c>
      <c r="B130" s="257">
        <f t="shared" ref="B130:H139" si="21">B78-(B78*$G$6)</f>
        <v>0</v>
      </c>
      <c r="C130" s="257">
        <f t="shared" si="21"/>
        <v>0</v>
      </c>
      <c r="D130" s="257">
        <f t="shared" si="21"/>
        <v>0</v>
      </c>
      <c r="E130" s="257">
        <f t="shared" si="21"/>
        <v>0</v>
      </c>
      <c r="F130" s="257">
        <f t="shared" si="21"/>
        <v>0</v>
      </c>
      <c r="G130" s="257">
        <f t="shared" si="21"/>
        <v>0</v>
      </c>
      <c r="H130" s="257">
        <f t="shared" si="21"/>
        <v>0</v>
      </c>
    </row>
    <row r="131" spans="1:8">
      <c r="A131" s="84">
        <f t="shared" si="19"/>
        <v>0</v>
      </c>
      <c r="B131" s="257">
        <f t="shared" si="21"/>
        <v>0</v>
      </c>
      <c r="C131" s="257">
        <f t="shared" si="21"/>
        <v>0</v>
      </c>
      <c r="D131" s="257">
        <f t="shared" si="21"/>
        <v>0</v>
      </c>
      <c r="E131" s="257">
        <f t="shared" si="21"/>
        <v>0</v>
      </c>
      <c r="F131" s="257">
        <f t="shared" si="21"/>
        <v>0</v>
      </c>
      <c r="G131" s="257">
        <f t="shared" si="21"/>
        <v>0</v>
      </c>
      <c r="H131" s="257">
        <f t="shared" si="21"/>
        <v>0</v>
      </c>
    </row>
    <row r="132" spans="1:8">
      <c r="A132" s="84">
        <f t="shared" si="19"/>
        <v>0</v>
      </c>
      <c r="B132" s="257">
        <f t="shared" si="21"/>
        <v>0</v>
      </c>
      <c r="C132" s="257">
        <f t="shared" si="21"/>
        <v>0</v>
      </c>
      <c r="D132" s="257">
        <f t="shared" si="21"/>
        <v>0</v>
      </c>
      <c r="E132" s="257">
        <f t="shared" si="21"/>
        <v>0</v>
      </c>
      <c r="F132" s="257">
        <f t="shared" si="21"/>
        <v>0</v>
      </c>
      <c r="G132" s="257">
        <f t="shared" si="21"/>
        <v>0</v>
      </c>
      <c r="H132" s="257">
        <f t="shared" si="21"/>
        <v>0</v>
      </c>
    </row>
    <row r="133" spans="1:8">
      <c r="A133" s="84">
        <f t="shared" si="19"/>
        <v>0</v>
      </c>
      <c r="B133" s="257">
        <f t="shared" si="21"/>
        <v>0</v>
      </c>
      <c r="C133" s="257">
        <f t="shared" si="21"/>
        <v>0</v>
      </c>
      <c r="D133" s="257">
        <f t="shared" si="21"/>
        <v>0</v>
      </c>
      <c r="E133" s="257">
        <f t="shared" si="21"/>
        <v>0</v>
      </c>
      <c r="F133" s="257">
        <f t="shared" si="21"/>
        <v>0</v>
      </c>
      <c r="G133" s="257">
        <f t="shared" si="21"/>
        <v>0</v>
      </c>
      <c r="H133" s="257">
        <f t="shared" si="21"/>
        <v>0</v>
      </c>
    </row>
    <row r="134" spans="1:8">
      <c r="A134" s="84">
        <f t="shared" si="19"/>
        <v>0</v>
      </c>
      <c r="B134" s="257">
        <f t="shared" si="21"/>
        <v>0</v>
      </c>
      <c r="C134" s="257">
        <f t="shared" si="21"/>
        <v>0</v>
      </c>
      <c r="D134" s="257">
        <f t="shared" si="21"/>
        <v>0</v>
      </c>
      <c r="E134" s="257">
        <f t="shared" si="21"/>
        <v>0</v>
      </c>
      <c r="F134" s="257">
        <f t="shared" si="21"/>
        <v>0</v>
      </c>
      <c r="G134" s="257">
        <f t="shared" si="21"/>
        <v>0</v>
      </c>
      <c r="H134" s="257">
        <f t="shared" si="21"/>
        <v>0</v>
      </c>
    </row>
    <row r="135" spans="1:8">
      <c r="A135" s="84">
        <f t="shared" si="19"/>
        <v>0</v>
      </c>
      <c r="B135" s="257">
        <f t="shared" si="21"/>
        <v>0</v>
      </c>
      <c r="C135" s="257">
        <f t="shared" si="21"/>
        <v>0</v>
      </c>
      <c r="D135" s="257">
        <f t="shared" si="21"/>
        <v>0</v>
      </c>
      <c r="E135" s="257">
        <f t="shared" si="21"/>
        <v>0</v>
      </c>
      <c r="F135" s="257">
        <f t="shared" si="21"/>
        <v>0</v>
      </c>
      <c r="G135" s="257">
        <f t="shared" si="21"/>
        <v>0</v>
      </c>
      <c r="H135" s="257">
        <f t="shared" si="21"/>
        <v>0</v>
      </c>
    </row>
    <row r="136" spans="1:8">
      <c r="A136" s="84">
        <f t="shared" si="19"/>
        <v>0</v>
      </c>
      <c r="B136" s="257">
        <f t="shared" si="21"/>
        <v>0</v>
      </c>
      <c r="C136" s="257">
        <f t="shared" si="21"/>
        <v>0</v>
      </c>
      <c r="D136" s="257">
        <f t="shared" si="21"/>
        <v>0</v>
      </c>
      <c r="E136" s="257">
        <f t="shared" si="21"/>
        <v>0</v>
      </c>
      <c r="F136" s="257">
        <f t="shared" si="21"/>
        <v>0</v>
      </c>
      <c r="G136" s="257">
        <f t="shared" si="21"/>
        <v>0</v>
      </c>
      <c r="H136" s="257">
        <f t="shared" si="21"/>
        <v>0</v>
      </c>
    </row>
    <row r="137" spans="1:8">
      <c r="A137" s="84">
        <f t="shared" si="19"/>
        <v>0</v>
      </c>
      <c r="B137" s="257">
        <f t="shared" si="21"/>
        <v>0</v>
      </c>
      <c r="C137" s="257">
        <f t="shared" si="21"/>
        <v>0</v>
      </c>
      <c r="D137" s="257">
        <f t="shared" si="21"/>
        <v>0</v>
      </c>
      <c r="E137" s="257">
        <f t="shared" si="21"/>
        <v>0</v>
      </c>
      <c r="F137" s="257">
        <f t="shared" si="21"/>
        <v>0</v>
      </c>
      <c r="G137" s="257">
        <f t="shared" si="21"/>
        <v>0</v>
      </c>
      <c r="H137" s="257">
        <f t="shared" si="21"/>
        <v>0</v>
      </c>
    </row>
    <row r="138" spans="1:8">
      <c r="A138" s="84">
        <f t="shared" si="19"/>
        <v>0</v>
      </c>
      <c r="B138" s="257">
        <f t="shared" si="21"/>
        <v>0</v>
      </c>
      <c r="C138" s="257">
        <f t="shared" si="21"/>
        <v>0</v>
      </c>
      <c r="D138" s="257">
        <f t="shared" si="21"/>
        <v>0</v>
      </c>
      <c r="E138" s="257">
        <f t="shared" si="21"/>
        <v>0</v>
      </c>
      <c r="F138" s="257">
        <f t="shared" si="21"/>
        <v>0</v>
      </c>
      <c r="G138" s="257">
        <f t="shared" si="21"/>
        <v>0</v>
      </c>
      <c r="H138" s="257">
        <f t="shared" si="21"/>
        <v>0</v>
      </c>
    </row>
    <row r="139" spans="1:8">
      <c r="A139" s="84">
        <f t="shared" si="19"/>
        <v>0</v>
      </c>
      <c r="B139" s="257">
        <f t="shared" si="21"/>
        <v>0</v>
      </c>
      <c r="C139" s="257">
        <f t="shared" si="21"/>
        <v>0</v>
      </c>
      <c r="D139" s="257">
        <f t="shared" si="21"/>
        <v>0</v>
      </c>
      <c r="E139" s="257">
        <f t="shared" si="21"/>
        <v>0</v>
      </c>
      <c r="F139" s="257">
        <f t="shared" si="21"/>
        <v>0</v>
      </c>
      <c r="G139" s="257">
        <f t="shared" si="21"/>
        <v>0</v>
      </c>
      <c r="H139" s="257">
        <f t="shared" si="21"/>
        <v>0</v>
      </c>
    </row>
    <row r="140" spans="1:8">
      <c r="A140" s="84">
        <f t="shared" si="19"/>
        <v>0</v>
      </c>
      <c r="B140" s="257">
        <f t="shared" ref="B140:H141" si="22">B88-(B88*$G$6)</f>
        <v>0</v>
      </c>
      <c r="C140" s="257">
        <f t="shared" si="22"/>
        <v>0</v>
      </c>
      <c r="D140" s="257">
        <f t="shared" si="22"/>
        <v>0</v>
      </c>
      <c r="E140" s="257">
        <f t="shared" si="22"/>
        <v>0</v>
      </c>
      <c r="F140" s="257">
        <f t="shared" si="22"/>
        <v>0</v>
      </c>
      <c r="G140" s="257">
        <f t="shared" si="22"/>
        <v>0</v>
      </c>
      <c r="H140" s="257">
        <f t="shared" si="22"/>
        <v>0</v>
      </c>
    </row>
    <row r="141" spans="1:8">
      <c r="A141" s="84">
        <f t="shared" si="19"/>
        <v>0</v>
      </c>
      <c r="B141" s="257">
        <f t="shared" si="22"/>
        <v>0</v>
      </c>
      <c r="C141" s="257">
        <f t="shared" si="22"/>
        <v>0</v>
      </c>
      <c r="D141" s="257">
        <f t="shared" si="22"/>
        <v>0</v>
      </c>
      <c r="E141" s="257">
        <f t="shared" si="22"/>
        <v>0</v>
      </c>
      <c r="F141" s="257">
        <f t="shared" si="22"/>
        <v>0</v>
      </c>
      <c r="G141" s="257">
        <f t="shared" si="22"/>
        <v>0</v>
      </c>
      <c r="H141" s="257">
        <f t="shared" si="22"/>
        <v>0</v>
      </c>
    </row>
    <row r="142" spans="1:8">
      <c r="A142" s="84"/>
      <c r="B142" s="257"/>
      <c r="C142" s="257"/>
      <c r="D142" s="257"/>
      <c r="E142" s="257"/>
      <c r="F142" s="257"/>
      <c r="G142" s="257"/>
      <c r="H142" s="257"/>
    </row>
    <row r="143" spans="1:8">
      <c r="A143" s="86" t="str">
        <f t="shared" ref="A143:A161" si="23">A91</f>
        <v>Grains Crops and  Production Details</v>
      </c>
      <c r="B143" s="257"/>
      <c r="C143" s="257"/>
      <c r="D143" s="257"/>
      <c r="E143" s="257"/>
      <c r="F143" s="257"/>
      <c r="G143" s="257"/>
      <c r="H143" s="257"/>
    </row>
    <row r="144" spans="1:8">
      <c r="A144" s="84" t="str">
        <f t="shared" si="23"/>
        <v>Flax seed</v>
      </c>
      <c r="B144" s="257">
        <f t="shared" ref="B144:H153" si="24">B92-(B92*$G$7)</f>
        <v>98.286666666666676</v>
      </c>
      <c r="C144" s="257">
        <f t="shared" si="24"/>
        <v>107.77333333333335</v>
      </c>
      <c r="D144" s="257">
        <f t="shared" si="24"/>
        <v>117.26000000000002</v>
      </c>
      <c r="E144" s="257">
        <f t="shared" si="24"/>
        <v>126.7466666666667</v>
      </c>
      <c r="F144" s="257">
        <f t="shared" si="24"/>
        <v>136.23333333333338</v>
      </c>
      <c r="G144" s="257">
        <f t="shared" si="24"/>
        <v>145.72000000000006</v>
      </c>
      <c r="H144" s="257">
        <f t="shared" si="24"/>
        <v>155.20666666666671</v>
      </c>
    </row>
    <row r="145" spans="1:8">
      <c r="A145" s="84" t="e">
        <f t="shared" si="23"/>
        <v>#REF!</v>
      </c>
      <c r="B145" s="257" t="e">
        <f t="shared" si="24"/>
        <v>#REF!</v>
      </c>
      <c r="C145" s="257" t="e">
        <f t="shared" si="24"/>
        <v>#REF!</v>
      </c>
      <c r="D145" s="257" t="e">
        <f t="shared" si="24"/>
        <v>#REF!</v>
      </c>
      <c r="E145" s="257" t="e">
        <f t="shared" si="24"/>
        <v>#REF!</v>
      </c>
      <c r="F145" s="257" t="e">
        <f t="shared" si="24"/>
        <v>#REF!</v>
      </c>
      <c r="G145" s="257" t="e">
        <f t="shared" si="24"/>
        <v>#REF!</v>
      </c>
      <c r="H145" s="257" t="e">
        <f t="shared" si="24"/>
        <v>#REF!</v>
      </c>
    </row>
    <row r="146" spans="1:8">
      <c r="A146" s="84" t="e">
        <f t="shared" si="23"/>
        <v>#REF!</v>
      </c>
      <c r="B146" s="257" t="e">
        <f t="shared" si="24"/>
        <v>#REF!</v>
      </c>
      <c r="C146" s="257" t="e">
        <f t="shared" si="24"/>
        <v>#REF!</v>
      </c>
      <c r="D146" s="257" t="e">
        <f t="shared" si="24"/>
        <v>#REF!</v>
      </c>
      <c r="E146" s="257" t="e">
        <f t="shared" si="24"/>
        <v>#REF!</v>
      </c>
      <c r="F146" s="257" t="e">
        <f t="shared" si="24"/>
        <v>#REF!</v>
      </c>
      <c r="G146" s="257" t="e">
        <f t="shared" si="24"/>
        <v>#REF!</v>
      </c>
      <c r="H146" s="257" t="e">
        <f t="shared" si="24"/>
        <v>#REF!</v>
      </c>
    </row>
    <row r="147" spans="1:8">
      <c r="A147" s="84" t="str">
        <f t="shared" si="23"/>
        <v xml:space="preserve">Safflower Seed </v>
      </c>
      <c r="B147" s="257">
        <f t="shared" si="24"/>
        <v>49.143333333333338</v>
      </c>
      <c r="C147" s="257">
        <f t="shared" si="24"/>
        <v>53.886666666666677</v>
      </c>
      <c r="D147" s="257">
        <f t="shared" si="24"/>
        <v>58.63000000000001</v>
      </c>
      <c r="E147" s="257">
        <f t="shared" si="24"/>
        <v>63.373333333333349</v>
      </c>
      <c r="F147" s="257">
        <f t="shared" si="24"/>
        <v>68.116666666666688</v>
      </c>
      <c r="G147" s="257">
        <f t="shared" si="24"/>
        <v>72.860000000000028</v>
      </c>
      <c r="H147" s="257">
        <f t="shared" si="24"/>
        <v>77.603333333333353</v>
      </c>
    </row>
    <row r="148" spans="1:8">
      <c r="A148" s="84" t="e">
        <f t="shared" si="23"/>
        <v>#REF!</v>
      </c>
      <c r="B148" s="257" t="e">
        <f t="shared" si="24"/>
        <v>#REF!</v>
      </c>
      <c r="C148" s="257" t="e">
        <f t="shared" si="24"/>
        <v>#REF!</v>
      </c>
      <c r="D148" s="257" t="e">
        <f t="shared" si="24"/>
        <v>#REF!</v>
      </c>
      <c r="E148" s="257" t="e">
        <f t="shared" si="24"/>
        <v>#REF!</v>
      </c>
      <c r="F148" s="257" t="e">
        <f t="shared" si="24"/>
        <v>#REF!</v>
      </c>
      <c r="G148" s="257" t="e">
        <f t="shared" si="24"/>
        <v>#REF!</v>
      </c>
      <c r="H148" s="257" t="e">
        <f t="shared" si="24"/>
        <v>#REF!</v>
      </c>
    </row>
    <row r="149" spans="1:8">
      <c r="A149" s="84" t="e">
        <f t="shared" si="23"/>
        <v>#REF!</v>
      </c>
      <c r="B149" s="257" t="e">
        <f t="shared" si="24"/>
        <v>#REF!</v>
      </c>
      <c r="C149" s="257" t="e">
        <f t="shared" si="24"/>
        <v>#REF!</v>
      </c>
      <c r="D149" s="257" t="e">
        <f t="shared" si="24"/>
        <v>#REF!</v>
      </c>
      <c r="E149" s="257" t="e">
        <f t="shared" si="24"/>
        <v>#REF!</v>
      </c>
      <c r="F149" s="257" t="e">
        <f t="shared" si="24"/>
        <v>#REF!</v>
      </c>
      <c r="G149" s="257" t="e">
        <f t="shared" si="24"/>
        <v>#REF!</v>
      </c>
      <c r="H149" s="257" t="e">
        <f t="shared" si="24"/>
        <v>#REF!</v>
      </c>
    </row>
    <row r="150" spans="1:8">
      <c r="A150" s="84" t="e">
        <f t="shared" si="23"/>
        <v>#REF!</v>
      </c>
      <c r="B150" s="257" t="e">
        <f t="shared" si="24"/>
        <v>#REF!</v>
      </c>
      <c r="C150" s="257" t="e">
        <f t="shared" si="24"/>
        <v>#REF!</v>
      </c>
      <c r="D150" s="257" t="e">
        <f t="shared" si="24"/>
        <v>#REF!</v>
      </c>
      <c r="E150" s="257" t="e">
        <f t="shared" si="24"/>
        <v>#REF!</v>
      </c>
      <c r="F150" s="257" t="e">
        <f t="shared" si="24"/>
        <v>#REF!</v>
      </c>
      <c r="G150" s="257" t="e">
        <f t="shared" si="24"/>
        <v>#REF!</v>
      </c>
      <c r="H150" s="257" t="e">
        <f t="shared" si="24"/>
        <v>#REF!</v>
      </c>
    </row>
    <row r="151" spans="1:8">
      <c r="A151" s="84" t="e">
        <f t="shared" si="23"/>
        <v>#REF!</v>
      </c>
      <c r="B151" s="257" t="e">
        <f t="shared" si="24"/>
        <v>#REF!</v>
      </c>
      <c r="C151" s="257" t="e">
        <f t="shared" si="24"/>
        <v>#REF!</v>
      </c>
      <c r="D151" s="257" t="e">
        <f t="shared" si="24"/>
        <v>#REF!</v>
      </c>
      <c r="E151" s="257" t="e">
        <f t="shared" si="24"/>
        <v>#REF!</v>
      </c>
      <c r="F151" s="257" t="e">
        <f t="shared" si="24"/>
        <v>#REF!</v>
      </c>
      <c r="G151" s="257" t="e">
        <f t="shared" si="24"/>
        <v>#REF!</v>
      </c>
      <c r="H151" s="257" t="e">
        <f t="shared" si="24"/>
        <v>#REF!</v>
      </c>
    </row>
    <row r="152" spans="1:8">
      <c r="A152" s="84" t="e">
        <f t="shared" si="23"/>
        <v>#REF!</v>
      </c>
      <c r="B152" s="257" t="e">
        <f t="shared" si="24"/>
        <v>#REF!</v>
      </c>
      <c r="C152" s="257" t="e">
        <f t="shared" si="24"/>
        <v>#REF!</v>
      </c>
      <c r="D152" s="257" t="e">
        <f t="shared" si="24"/>
        <v>#REF!</v>
      </c>
      <c r="E152" s="257" t="e">
        <f t="shared" si="24"/>
        <v>#REF!</v>
      </c>
      <c r="F152" s="257" t="e">
        <f t="shared" si="24"/>
        <v>#REF!</v>
      </c>
      <c r="G152" s="257" t="e">
        <f t="shared" si="24"/>
        <v>#REF!</v>
      </c>
      <c r="H152" s="257" t="e">
        <f t="shared" si="24"/>
        <v>#REF!</v>
      </c>
    </row>
    <row r="153" spans="1:8">
      <c r="A153" s="84" t="e">
        <f t="shared" si="23"/>
        <v>#REF!</v>
      </c>
      <c r="B153" s="257" t="e">
        <f t="shared" si="24"/>
        <v>#REF!</v>
      </c>
      <c r="C153" s="257" t="e">
        <f t="shared" si="24"/>
        <v>#REF!</v>
      </c>
      <c r="D153" s="257" t="e">
        <f t="shared" si="24"/>
        <v>#REF!</v>
      </c>
      <c r="E153" s="257" t="e">
        <f t="shared" si="24"/>
        <v>#REF!</v>
      </c>
      <c r="F153" s="257" t="e">
        <f t="shared" si="24"/>
        <v>#REF!</v>
      </c>
      <c r="G153" s="257" t="e">
        <f t="shared" si="24"/>
        <v>#REF!</v>
      </c>
      <c r="H153" s="257" t="e">
        <f t="shared" si="24"/>
        <v>#REF!</v>
      </c>
    </row>
    <row r="154" spans="1:8">
      <c r="A154" s="84" t="e">
        <f t="shared" si="23"/>
        <v>#REF!</v>
      </c>
      <c r="B154" s="257" t="e">
        <f t="shared" ref="B154:H161" si="25">B102-(B102*$G$7)</f>
        <v>#REF!</v>
      </c>
      <c r="C154" s="257" t="e">
        <f t="shared" si="25"/>
        <v>#REF!</v>
      </c>
      <c r="D154" s="257" t="e">
        <f t="shared" si="25"/>
        <v>#REF!</v>
      </c>
      <c r="E154" s="257" t="e">
        <f t="shared" si="25"/>
        <v>#REF!</v>
      </c>
      <c r="F154" s="257" t="e">
        <f t="shared" si="25"/>
        <v>#REF!</v>
      </c>
      <c r="G154" s="257" t="e">
        <f t="shared" si="25"/>
        <v>#REF!</v>
      </c>
      <c r="H154" s="257" t="e">
        <f t="shared" si="25"/>
        <v>#REF!</v>
      </c>
    </row>
    <row r="155" spans="1:8">
      <c r="A155" s="84" t="e">
        <f t="shared" si="23"/>
        <v>#REF!</v>
      </c>
      <c r="B155" s="257" t="e">
        <f t="shared" si="25"/>
        <v>#REF!</v>
      </c>
      <c r="C155" s="257" t="e">
        <f t="shared" si="25"/>
        <v>#REF!</v>
      </c>
      <c r="D155" s="257" t="e">
        <f t="shared" si="25"/>
        <v>#REF!</v>
      </c>
      <c r="E155" s="257" t="e">
        <f t="shared" si="25"/>
        <v>#REF!</v>
      </c>
      <c r="F155" s="257" t="e">
        <f t="shared" si="25"/>
        <v>#REF!</v>
      </c>
      <c r="G155" s="257" t="e">
        <f t="shared" si="25"/>
        <v>#REF!</v>
      </c>
      <c r="H155" s="257" t="e">
        <f t="shared" si="25"/>
        <v>#REF!</v>
      </c>
    </row>
    <row r="156" spans="1:8">
      <c r="A156" s="84" t="e">
        <f t="shared" si="23"/>
        <v>#REF!</v>
      </c>
      <c r="B156" s="257" t="e">
        <f t="shared" si="25"/>
        <v>#REF!</v>
      </c>
      <c r="C156" s="257" t="e">
        <f t="shared" si="25"/>
        <v>#REF!</v>
      </c>
      <c r="D156" s="257" t="e">
        <f t="shared" si="25"/>
        <v>#REF!</v>
      </c>
      <c r="E156" s="257" t="e">
        <f t="shared" si="25"/>
        <v>#REF!</v>
      </c>
      <c r="F156" s="257" t="e">
        <f t="shared" si="25"/>
        <v>#REF!</v>
      </c>
      <c r="G156" s="257" t="e">
        <f t="shared" si="25"/>
        <v>#REF!</v>
      </c>
      <c r="H156" s="257" t="e">
        <f t="shared" si="25"/>
        <v>#REF!</v>
      </c>
    </row>
    <row r="157" spans="1:8">
      <c r="A157" s="84" t="e">
        <f t="shared" si="23"/>
        <v>#REF!</v>
      </c>
      <c r="B157" s="257" t="e">
        <f t="shared" si="25"/>
        <v>#REF!</v>
      </c>
      <c r="C157" s="257" t="e">
        <f t="shared" si="25"/>
        <v>#REF!</v>
      </c>
      <c r="D157" s="257" t="e">
        <f t="shared" si="25"/>
        <v>#REF!</v>
      </c>
      <c r="E157" s="257" t="e">
        <f t="shared" si="25"/>
        <v>#REF!</v>
      </c>
      <c r="F157" s="257" t="e">
        <f t="shared" si="25"/>
        <v>#REF!</v>
      </c>
      <c r="G157" s="257" t="e">
        <f t="shared" si="25"/>
        <v>#REF!</v>
      </c>
      <c r="H157" s="257" t="e">
        <f t="shared" si="25"/>
        <v>#REF!</v>
      </c>
    </row>
    <row r="158" spans="1:8">
      <c r="A158" s="84" t="e">
        <f t="shared" si="23"/>
        <v>#REF!</v>
      </c>
      <c r="B158" s="257" t="e">
        <f t="shared" si="25"/>
        <v>#REF!</v>
      </c>
      <c r="C158" s="257" t="e">
        <f t="shared" si="25"/>
        <v>#REF!</v>
      </c>
      <c r="D158" s="257" t="e">
        <f t="shared" si="25"/>
        <v>#REF!</v>
      </c>
      <c r="E158" s="257" t="e">
        <f t="shared" si="25"/>
        <v>#REF!</v>
      </c>
      <c r="F158" s="257" t="e">
        <f t="shared" si="25"/>
        <v>#REF!</v>
      </c>
      <c r="G158" s="257" t="e">
        <f t="shared" si="25"/>
        <v>#REF!</v>
      </c>
      <c r="H158" s="257" t="e">
        <f t="shared" si="25"/>
        <v>#REF!</v>
      </c>
    </row>
    <row r="159" spans="1:8">
      <c r="A159" s="84" t="e">
        <f t="shared" si="23"/>
        <v>#REF!</v>
      </c>
      <c r="B159" s="257" t="e">
        <f t="shared" si="25"/>
        <v>#REF!</v>
      </c>
      <c r="C159" s="257" t="e">
        <f t="shared" si="25"/>
        <v>#REF!</v>
      </c>
      <c r="D159" s="257" t="e">
        <f t="shared" si="25"/>
        <v>#REF!</v>
      </c>
      <c r="E159" s="257" t="e">
        <f t="shared" si="25"/>
        <v>#REF!</v>
      </c>
      <c r="F159" s="257" t="e">
        <f t="shared" si="25"/>
        <v>#REF!</v>
      </c>
      <c r="G159" s="257" t="e">
        <f t="shared" si="25"/>
        <v>#REF!</v>
      </c>
      <c r="H159" s="257" t="e">
        <f t="shared" si="25"/>
        <v>#REF!</v>
      </c>
    </row>
    <row r="160" spans="1:8">
      <c r="A160" s="84" t="e">
        <f t="shared" si="23"/>
        <v>#REF!</v>
      </c>
      <c r="B160" s="257" t="e">
        <f t="shared" si="25"/>
        <v>#REF!</v>
      </c>
      <c r="C160" s="257" t="e">
        <f t="shared" si="25"/>
        <v>#REF!</v>
      </c>
      <c r="D160" s="257" t="e">
        <f t="shared" si="25"/>
        <v>#REF!</v>
      </c>
      <c r="E160" s="257" t="e">
        <f t="shared" si="25"/>
        <v>#REF!</v>
      </c>
      <c r="F160" s="257" t="e">
        <f t="shared" si="25"/>
        <v>#REF!</v>
      </c>
      <c r="G160" s="257" t="e">
        <f t="shared" si="25"/>
        <v>#REF!</v>
      </c>
      <c r="H160" s="257" t="e">
        <f t="shared" si="25"/>
        <v>#REF!</v>
      </c>
    </row>
    <row r="161" spans="1:20">
      <c r="A161" s="84" t="e">
        <f t="shared" si="23"/>
        <v>#REF!</v>
      </c>
      <c r="B161" s="257" t="e">
        <f t="shared" si="25"/>
        <v>#REF!</v>
      </c>
      <c r="C161" s="257" t="e">
        <f t="shared" si="25"/>
        <v>#REF!</v>
      </c>
      <c r="D161" s="257" t="e">
        <f t="shared" si="25"/>
        <v>#REF!</v>
      </c>
      <c r="E161" s="257" t="e">
        <f t="shared" si="25"/>
        <v>#REF!</v>
      </c>
      <c r="F161" s="257" t="e">
        <f t="shared" si="25"/>
        <v>#REF!</v>
      </c>
      <c r="G161" s="257" t="e">
        <f t="shared" si="25"/>
        <v>#REF!</v>
      </c>
      <c r="H161" s="257" t="e">
        <f t="shared" si="25"/>
        <v>#REF!</v>
      </c>
    </row>
    <row r="162" spans="1:20">
      <c r="A162" s="84" t="e">
        <f t="shared" ref="A162:A165" si="26">A110</f>
        <v>#REF!</v>
      </c>
      <c r="B162" s="257">
        <f t="shared" ref="B162:H162" si="27">B110-(B110*$G$7)</f>
        <v>0</v>
      </c>
      <c r="C162" s="257">
        <f t="shared" si="27"/>
        <v>0</v>
      </c>
      <c r="D162" s="257">
        <f t="shared" si="27"/>
        <v>0</v>
      </c>
      <c r="E162" s="257">
        <f t="shared" si="27"/>
        <v>0</v>
      </c>
      <c r="F162" s="257">
        <f t="shared" si="27"/>
        <v>0</v>
      </c>
      <c r="G162" s="257">
        <f t="shared" si="27"/>
        <v>0</v>
      </c>
      <c r="H162" s="257">
        <f t="shared" si="27"/>
        <v>0</v>
      </c>
    </row>
    <row r="163" spans="1:20">
      <c r="A163" s="84" t="e">
        <f t="shared" si="26"/>
        <v>#REF!</v>
      </c>
      <c r="B163" s="257">
        <f t="shared" ref="B163:H163" si="28">B111-(B111*$G$7)</f>
        <v>0</v>
      </c>
      <c r="C163" s="257">
        <f t="shared" si="28"/>
        <v>0</v>
      </c>
      <c r="D163" s="257">
        <f t="shared" si="28"/>
        <v>0</v>
      </c>
      <c r="E163" s="257">
        <f t="shared" si="28"/>
        <v>0</v>
      </c>
      <c r="F163" s="257">
        <f t="shared" si="28"/>
        <v>0</v>
      </c>
      <c r="G163" s="257">
        <f t="shared" si="28"/>
        <v>0</v>
      </c>
      <c r="H163" s="257">
        <f t="shared" si="28"/>
        <v>0</v>
      </c>
    </row>
    <row r="164" spans="1:20">
      <c r="A164" s="84" t="e">
        <f t="shared" si="26"/>
        <v>#REF!</v>
      </c>
      <c r="B164" s="257">
        <f t="shared" ref="B164:H165" si="29">B112-(B112*$G$7)</f>
        <v>0</v>
      </c>
      <c r="C164" s="257">
        <f t="shared" si="29"/>
        <v>0</v>
      </c>
      <c r="D164" s="257">
        <f t="shared" si="29"/>
        <v>0</v>
      </c>
      <c r="E164" s="257">
        <f t="shared" si="29"/>
        <v>0</v>
      </c>
      <c r="F164" s="257">
        <f t="shared" si="29"/>
        <v>0</v>
      </c>
      <c r="G164" s="257">
        <f t="shared" si="29"/>
        <v>0</v>
      </c>
      <c r="H164" s="257">
        <f t="shared" si="29"/>
        <v>0</v>
      </c>
    </row>
    <row r="165" spans="1:20">
      <c r="A165" s="84" t="e">
        <f t="shared" si="26"/>
        <v>#REF!</v>
      </c>
      <c r="B165" s="257" t="e">
        <f t="shared" si="29"/>
        <v>#REF!</v>
      </c>
      <c r="C165" s="257" t="e">
        <f t="shared" ref="C165:H168" si="30">C113-(C113*$G$7)</f>
        <v>#REF!</v>
      </c>
      <c r="D165" s="257" t="e">
        <f t="shared" si="30"/>
        <v>#REF!</v>
      </c>
      <c r="E165" s="257" t="e">
        <f t="shared" si="30"/>
        <v>#REF!</v>
      </c>
      <c r="F165" s="257" t="e">
        <f t="shared" si="30"/>
        <v>#REF!</v>
      </c>
      <c r="G165" s="257" t="e">
        <f t="shared" si="30"/>
        <v>#REF!</v>
      </c>
      <c r="H165" s="257" t="e">
        <f t="shared" si="30"/>
        <v>#REF!</v>
      </c>
    </row>
    <row r="166" spans="1:20">
      <c r="A166" s="84" t="e">
        <f>A114</f>
        <v>#REF!</v>
      </c>
      <c r="B166" s="257" t="e">
        <f>B114-(B114*$G$7)</f>
        <v>#REF!</v>
      </c>
      <c r="C166" s="257" t="e">
        <f t="shared" si="30"/>
        <v>#REF!</v>
      </c>
      <c r="D166" s="257" t="e">
        <f t="shared" si="30"/>
        <v>#REF!</v>
      </c>
      <c r="E166" s="257" t="e">
        <f t="shared" si="30"/>
        <v>#REF!</v>
      </c>
      <c r="F166" s="257" t="e">
        <f t="shared" si="30"/>
        <v>#REF!</v>
      </c>
      <c r="G166" s="257" t="e">
        <f t="shared" si="30"/>
        <v>#REF!</v>
      </c>
      <c r="H166" s="257" t="e">
        <f t="shared" si="30"/>
        <v>#REF!</v>
      </c>
    </row>
    <row r="167" spans="1:20">
      <c r="A167" s="84" t="e">
        <f>A115</f>
        <v>#REF!</v>
      </c>
      <c r="B167" s="257" t="e">
        <f>B115-(B115*$G$7)</f>
        <v>#REF!</v>
      </c>
      <c r="C167" s="257" t="e">
        <f t="shared" si="30"/>
        <v>#REF!</v>
      </c>
      <c r="D167" s="257" t="e">
        <f t="shared" si="30"/>
        <v>#REF!</v>
      </c>
      <c r="E167" s="257" t="e">
        <f t="shared" si="30"/>
        <v>#REF!</v>
      </c>
      <c r="F167" s="257" t="e">
        <f t="shared" si="30"/>
        <v>#REF!</v>
      </c>
      <c r="G167" s="257" t="e">
        <f t="shared" si="30"/>
        <v>#REF!</v>
      </c>
      <c r="H167" s="257" t="e">
        <f t="shared" si="30"/>
        <v>#REF!</v>
      </c>
    </row>
    <row r="168" spans="1:20">
      <c r="A168" s="84" t="e">
        <f>A116</f>
        <v>#REF!</v>
      </c>
      <c r="B168" s="257" t="e">
        <f>B116-(B116*$G$7)</f>
        <v>#REF!</v>
      </c>
      <c r="C168" s="257" t="e">
        <f t="shared" si="30"/>
        <v>#REF!</v>
      </c>
      <c r="D168" s="257" t="e">
        <f t="shared" si="30"/>
        <v>#REF!</v>
      </c>
      <c r="E168" s="257" t="e">
        <f t="shared" si="30"/>
        <v>#REF!</v>
      </c>
      <c r="F168" s="257" t="e">
        <f t="shared" si="30"/>
        <v>#REF!</v>
      </c>
      <c r="G168" s="257" t="e">
        <f t="shared" si="30"/>
        <v>#REF!</v>
      </c>
      <c r="H168" s="257" t="e">
        <f t="shared" si="30"/>
        <v>#REF!</v>
      </c>
    </row>
    <row r="169" spans="1:20">
      <c r="A169" s="150"/>
    </row>
    <row r="170" spans="1:20" ht="18.75">
      <c r="A170" s="703" t="s">
        <v>523</v>
      </c>
      <c r="B170" s="703"/>
      <c r="C170" s="703"/>
      <c r="D170" s="703"/>
      <c r="E170" s="703"/>
      <c r="F170" s="703"/>
      <c r="G170" s="703"/>
      <c r="H170" s="703"/>
      <c r="I170" s="703"/>
      <c r="J170" s="703"/>
    </row>
    <row r="171" spans="1:20">
      <c r="A171" s="16"/>
      <c r="B171" s="16"/>
      <c r="C171" s="16"/>
      <c r="D171" s="16"/>
      <c r="E171" s="16"/>
      <c r="F171" s="16"/>
      <c r="G171" s="16"/>
      <c r="H171" s="16"/>
    </row>
    <row r="172" spans="1:20">
      <c r="A172" s="160"/>
      <c r="B172" s="160"/>
      <c r="C172" s="160"/>
      <c r="D172" s="161">
        <v>1</v>
      </c>
      <c r="E172" s="162">
        <f>(D172*5%)+D172</f>
        <v>1.05</v>
      </c>
      <c r="F172" s="162">
        <f t="shared" ref="F172:J172" si="31">(E172*5%)+E172</f>
        <v>1.1025</v>
      </c>
      <c r="G172" s="162">
        <f t="shared" si="31"/>
        <v>1.1576250000000001</v>
      </c>
      <c r="H172" s="162">
        <f t="shared" si="31"/>
        <v>1.2155062500000002</v>
      </c>
      <c r="I172" s="162">
        <f t="shared" si="31"/>
        <v>1.2762815625000004</v>
      </c>
      <c r="J172" s="162">
        <f t="shared" si="31"/>
        <v>1.3400956406250004</v>
      </c>
      <c r="K172" s="79"/>
      <c r="L172" s="79"/>
      <c r="M172" s="79"/>
      <c r="N172" s="79"/>
      <c r="O172" s="79"/>
      <c r="P172" s="79"/>
      <c r="Q172" s="79"/>
      <c r="R172" s="79"/>
      <c r="S172" s="79"/>
      <c r="T172" s="79"/>
    </row>
    <row r="173" spans="1:20">
      <c r="A173" s="79"/>
      <c r="B173" s="79"/>
      <c r="C173" s="79"/>
      <c r="D173" s="79"/>
      <c r="E173" s="79"/>
      <c r="F173" s="79"/>
      <c r="G173" s="79"/>
      <c r="H173" s="79"/>
      <c r="I173" s="79"/>
      <c r="J173" s="79"/>
      <c r="K173" s="79"/>
      <c r="L173" s="79"/>
      <c r="M173" s="79"/>
      <c r="N173" s="79"/>
      <c r="O173" s="79"/>
      <c r="P173" s="79"/>
      <c r="Q173" s="79"/>
      <c r="R173" s="79"/>
      <c r="S173" s="79"/>
      <c r="T173" s="79"/>
    </row>
    <row r="174" spans="1:20">
      <c r="A174" s="79"/>
      <c r="B174" s="79"/>
      <c r="C174" s="79"/>
      <c r="D174" s="144"/>
      <c r="E174" s="144"/>
      <c r="F174" s="144"/>
      <c r="G174" s="144"/>
      <c r="H174" s="144"/>
      <c r="I174" s="144"/>
      <c r="J174" s="144"/>
      <c r="K174" s="79"/>
      <c r="L174" s="79"/>
    </row>
    <row r="175" spans="1:20">
      <c r="A175" s="69" t="s">
        <v>0</v>
      </c>
      <c r="B175" s="69"/>
      <c r="C175" s="69" t="s">
        <v>148</v>
      </c>
      <c r="D175" s="70" t="s">
        <v>2</v>
      </c>
      <c r="E175" s="70" t="s">
        <v>3</v>
      </c>
      <c r="F175" s="70" t="s">
        <v>4</v>
      </c>
      <c r="G175" s="70" t="s">
        <v>5</v>
      </c>
      <c r="H175" s="70" t="s">
        <v>6</v>
      </c>
      <c r="I175" s="70" t="s">
        <v>163</v>
      </c>
      <c r="J175" s="70" t="s">
        <v>162</v>
      </c>
      <c r="K175" s="79"/>
      <c r="L175" s="79"/>
    </row>
    <row r="176" spans="1:20">
      <c r="A176" s="82"/>
      <c r="B176" s="82"/>
      <c r="C176" s="82"/>
      <c r="D176" s="80"/>
      <c r="E176" s="80"/>
      <c r="F176" s="80"/>
      <c r="G176" s="80"/>
      <c r="H176" s="80"/>
      <c r="I176" s="80"/>
      <c r="J176" s="80"/>
      <c r="K176" s="79"/>
      <c r="L176" s="79"/>
    </row>
    <row r="177" spans="1:12">
      <c r="A177" s="82" t="s">
        <v>124</v>
      </c>
      <c r="B177" s="82"/>
      <c r="C177" s="82"/>
      <c r="D177" s="80"/>
      <c r="E177" s="80"/>
      <c r="F177" s="80"/>
      <c r="G177" s="80"/>
      <c r="H177" s="80"/>
      <c r="I177" s="80"/>
      <c r="J177" s="80"/>
      <c r="K177" s="79"/>
      <c r="L177" s="79"/>
    </row>
    <row r="178" spans="1:12">
      <c r="A178" s="80" t="str">
        <f t="shared" ref="A178:A198" si="32">A120</f>
        <v>Particulars</v>
      </c>
      <c r="B178" s="80" t="s">
        <v>349</v>
      </c>
      <c r="C178" s="218">
        <v>4000</v>
      </c>
      <c r="D178" s="163">
        <f>(B120*(1-'5.Closing Stock &amp; W Capital'!$D$16))*C$178*D172</f>
        <v>-27160</v>
      </c>
      <c r="E178" s="163">
        <f>((C120*(1-'5.Closing Stock &amp; W Capital'!$D$16))+(B120*'5.Closing Stock &amp; W Capital'!$D$16))*$C178*E$172</f>
        <v>2036.9999999999977</v>
      </c>
      <c r="F178" s="163">
        <f>((D120*(1-'5.Closing Stock &amp; W Capital'!$D$16))+(C120*'5.Closing Stock &amp; W Capital'!$D$16))*$C178*F$172</f>
        <v>2138.8499999999976</v>
      </c>
      <c r="G178" s="163">
        <f>((E120*(1-'5.Closing Stock &amp; W Capital'!$D$16))+(D120*'5.Closing Stock &amp; W Capital'!$D$16))*$C178*G$172</f>
        <v>2245.7924999999977</v>
      </c>
      <c r="H178" s="163">
        <f>((F120*(1-'5.Closing Stock &amp; W Capital'!$D$16))+(E120*'5.Closing Stock &amp; W Capital'!$D$16))*$C178*H$172</f>
        <v>2358.0821249999976</v>
      </c>
      <c r="I178" s="163">
        <f>((G120*(1-'5.Closing Stock &amp; W Capital'!$D$16))+(F120*'5.Closing Stock &amp; W Capital'!$D$16))*$C178*I$172</f>
        <v>2475.9862312499977</v>
      </c>
      <c r="J178" s="163">
        <f>((H120*(1-'5.Closing Stock &amp; W Capital'!$D$16))+(G120*'5.Closing Stock &amp; W Capital'!$D$16))*$C178*J$172</f>
        <v>2599.7855428124976</v>
      </c>
      <c r="K178" s="79"/>
      <c r="L178" s="79"/>
    </row>
    <row r="179" spans="1:12">
      <c r="A179" s="80">
        <f t="shared" si="32"/>
        <v>0</v>
      </c>
      <c r="B179" s="80" t="s">
        <v>349</v>
      </c>
      <c r="C179" s="218">
        <v>6000</v>
      </c>
      <c r="D179" s="163" t="e">
        <f>(B121*(1-'5.Closing Stock &amp; W Capital'!$D$16))*$C179*D$172</f>
        <v>#VALUE!</v>
      </c>
      <c r="E179" s="163" t="e">
        <f>((C121*(1-'5.Closing Stock &amp; W Capital'!$D$16))+(B121*'5.Closing Stock &amp; W Capital'!$D$16))*$C179*E$172</f>
        <v>#VALUE!</v>
      </c>
      <c r="F179" s="163" t="e">
        <f>((D121*(1-'5.Closing Stock &amp; W Capital'!$D$16))+(C121*'5.Closing Stock &amp; W Capital'!$D$16))*$C179*F$172</f>
        <v>#VALUE!</v>
      </c>
      <c r="G179" s="163" t="e">
        <f>((E121*(1-'5.Closing Stock &amp; W Capital'!$D$16))+(D121*'5.Closing Stock &amp; W Capital'!$D$16))*$C179*G$172</f>
        <v>#VALUE!</v>
      </c>
      <c r="H179" s="163" t="e">
        <f>((F121*(1-'5.Closing Stock &amp; W Capital'!$D$16))+(E121*'5.Closing Stock &amp; W Capital'!$D$16))*$C179*H$172</f>
        <v>#VALUE!</v>
      </c>
      <c r="I179" s="163" t="e">
        <f>((G121*(1-'5.Closing Stock &amp; W Capital'!$D$16))+(F121*'5.Closing Stock &amp; W Capital'!$D$16))*$C179*I$172</f>
        <v>#VALUE!</v>
      </c>
      <c r="J179" s="163" t="e">
        <f>((H121*(1-'5.Closing Stock &amp; W Capital'!$D$16))+(G121*'5.Closing Stock &amp; W Capital'!$D$16))*$C179*J$172</f>
        <v>#VALUE!</v>
      </c>
      <c r="K179" s="79"/>
      <c r="L179" s="79"/>
    </row>
    <row r="180" spans="1:12">
      <c r="A180" s="80">
        <f t="shared" si="32"/>
        <v>0</v>
      </c>
      <c r="B180" s="80" t="s">
        <v>349</v>
      </c>
      <c r="C180" s="218"/>
      <c r="D180" s="163">
        <f>(B122*(1-'5.Closing Stock &amp; W Capital'!$D$16))*$C180*D$172</f>
        <v>0</v>
      </c>
      <c r="E180" s="163">
        <f>((C122*(1-'5.Closing Stock &amp; W Capital'!$D$16))+(B122*'5.Closing Stock &amp; W Capital'!$D$16))*$C180*E$172</f>
        <v>0</v>
      </c>
      <c r="F180" s="163">
        <f>((D122*(1-'5.Closing Stock &amp; W Capital'!$D$16))+(C122*'5.Closing Stock &amp; W Capital'!$D$16))*$C180*F$172</f>
        <v>0</v>
      </c>
      <c r="G180" s="163">
        <f>((E122*(1-'5.Closing Stock &amp; W Capital'!$D$16))+(D122*'5.Closing Stock &amp; W Capital'!$D$16))*$C180*G$172</f>
        <v>0</v>
      </c>
      <c r="H180" s="163">
        <f>((F122*(1-'5.Closing Stock &amp; W Capital'!$D$16))+(E122*'5.Closing Stock &amp; W Capital'!$D$16))*$C180*H$172</f>
        <v>0</v>
      </c>
      <c r="I180" s="163">
        <f>((G122*(1-'5.Closing Stock &amp; W Capital'!$D$16))+(F122*'5.Closing Stock &amp; W Capital'!$D$16))*$C180*I$172</f>
        <v>0</v>
      </c>
      <c r="J180" s="163">
        <f>((H122*(1-'5.Closing Stock &amp; W Capital'!$D$16))+(G122*'5.Closing Stock &amp; W Capital'!$D$16))*$C180*J$172</f>
        <v>0</v>
      </c>
      <c r="K180" s="79"/>
      <c r="L180" s="79"/>
    </row>
    <row r="181" spans="1:12">
      <c r="A181" s="80" t="str">
        <f t="shared" si="32"/>
        <v>Chilli</v>
      </c>
      <c r="B181" s="80" t="s">
        <v>349</v>
      </c>
      <c r="C181" s="218">
        <v>6000</v>
      </c>
      <c r="D181" s="163">
        <f>(B123*(1-'5.Closing Stock &amp; W Capital'!$D$16))*$C181*D$172</f>
        <v>0</v>
      </c>
      <c r="E181" s="163">
        <f>((C123*(1-'5.Closing Stock &amp; W Capital'!$D$16))+(B123*'5.Closing Stock &amp; W Capital'!$D$16))*$C181*E$172</f>
        <v>0</v>
      </c>
      <c r="F181" s="163">
        <f>((D123*(1-'5.Closing Stock &amp; W Capital'!$D$16))+(C123*'5.Closing Stock &amp; W Capital'!$D$16))*$C181*F$172</f>
        <v>0</v>
      </c>
      <c r="G181" s="163">
        <f>((E123*(1-'5.Closing Stock &amp; W Capital'!$D$16))+(D123*'5.Closing Stock &amp; W Capital'!$D$16))*$C181*G$172</f>
        <v>0</v>
      </c>
      <c r="H181" s="163">
        <f>((F123*(1-'5.Closing Stock &amp; W Capital'!$D$16))+(E123*'5.Closing Stock &amp; W Capital'!$D$16))*$C181*H$172</f>
        <v>0</v>
      </c>
      <c r="I181" s="163">
        <f>((G123*(1-'5.Closing Stock &amp; W Capital'!$D$16))+(F123*'5.Closing Stock &amp; W Capital'!$D$16))*$C181*I$172</f>
        <v>0</v>
      </c>
      <c r="J181" s="163">
        <f>((H123*(1-'5.Closing Stock &amp; W Capital'!$D$16))+(G123*'5.Closing Stock &amp; W Capital'!$D$16))*$C181*J$172</f>
        <v>0</v>
      </c>
      <c r="K181" s="79"/>
      <c r="L181" s="79"/>
    </row>
    <row r="182" spans="1:12">
      <c r="A182" s="80">
        <f t="shared" si="32"/>
        <v>0</v>
      </c>
      <c r="B182" s="80" t="s">
        <v>349</v>
      </c>
      <c r="C182" s="218"/>
      <c r="D182" s="163">
        <f>(B124*(1-'5.Closing Stock &amp; W Capital'!$D$16))*$C182*D$172</f>
        <v>0</v>
      </c>
      <c r="E182" s="163">
        <f>((C124*(1-'5.Closing Stock &amp; W Capital'!$D$16))+(B124*'5.Closing Stock &amp; W Capital'!$D$16))*$C182*E$172</f>
        <v>0</v>
      </c>
      <c r="F182" s="163">
        <f>((D124*(1-'5.Closing Stock &amp; W Capital'!$D$16))+(C124*'5.Closing Stock &amp; W Capital'!$D$16))*$C182*F$172</f>
        <v>0</v>
      </c>
      <c r="G182" s="163">
        <f>((E124*(1-'5.Closing Stock &amp; W Capital'!$D$16))+(D124*'5.Closing Stock &amp; W Capital'!$D$16))*$C182*G$172</f>
        <v>0</v>
      </c>
      <c r="H182" s="163">
        <f>((F124*(1-'5.Closing Stock &amp; W Capital'!$D$16))+(E124*'5.Closing Stock &amp; W Capital'!$D$16))*$C182*H$172</f>
        <v>0</v>
      </c>
      <c r="I182" s="163">
        <f>((G124*(1-'5.Closing Stock &amp; W Capital'!$D$16))+(F124*'5.Closing Stock &amp; W Capital'!$D$16))*$C182*I$172</f>
        <v>0</v>
      </c>
      <c r="J182" s="163">
        <f>((H124*(1-'5.Closing Stock &amp; W Capital'!$D$16))+(G124*'5.Closing Stock &amp; W Capital'!$D$16))*$C182*J$172</f>
        <v>0</v>
      </c>
      <c r="K182" s="79"/>
      <c r="L182" s="79"/>
    </row>
    <row r="183" spans="1:12">
      <c r="A183" s="80">
        <f t="shared" si="32"/>
        <v>0</v>
      </c>
      <c r="B183" s="80" t="s">
        <v>349</v>
      </c>
      <c r="C183" s="218">
        <v>6500</v>
      </c>
      <c r="D183" s="163">
        <f>(B125*(1-'5.Closing Stock &amp; W Capital'!$D$16))*$C183*D$172</f>
        <v>0</v>
      </c>
      <c r="E183" s="163">
        <f>((C125*(1-'5.Closing Stock &amp; W Capital'!$D$16))+(B125*'5.Closing Stock &amp; W Capital'!$D$16))*$C183*E$172</f>
        <v>0</v>
      </c>
      <c r="F183" s="163">
        <f>((D125*(1-'5.Closing Stock &amp; W Capital'!$D$16))+(C125*'5.Closing Stock &amp; W Capital'!$D$16))*$C183*F$172</f>
        <v>0</v>
      </c>
      <c r="G183" s="163">
        <f>((E125*(1-'5.Closing Stock &amp; W Capital'!$D$16))+(D125*'5.Closing Stock &amp; W Capital'!$D$16))*$C183*G$172</f>
        <v>0</v>
      </c>
      <c r="H183" s="163">
        <f>((F125*(1-'5.Closing Stock &amp; W Capital'!$D$16))+(E125*'5.Closing Stock &amp; W Capital'!$D$16))*$C183*H$172</f>
        <v>0</v>
      </c>
      <c r="I183" s="163">
        <f>((G125*(1-'5.Closing Stock &amp; W Capital'!$D$16))+(F125*'5.Closing Stock &amp; W Capital'!$D$16))*$C183*I$172</f>
        <v>0</v>
      </c>
      <c r="J183" s="163">
        <f>((H125*(1-'5.Closing Stock &amp; W Capital'!$D$16))+(G125*'5.Closing Stock &amp; W Capital'!$D$16))*$C183*J$172</f>
        <v>0</v>
      </c>
      <c r="K183" s="79"/>
      <c r="L183" s="79"/>
    </row>
    <row r="184" spans="1:12">
      <c r="A184" s="80" t="str">
        <f t="shared" si="32"/>
        <v>Assumptions:</v>
      </c>
      <c r="B184" s="80" t="s">
        <v>349</v>
      </c>
      <c r="C184" s="218">
        <v>2000</v>
      </c>
      <c r="D184" s="163">
        <f>(B126*(1-'5.Closing Stock &amp; W Capital'!$D$16))*$C184*D$172</f>
        <v>0</v>
      </c>
      <c r="E184" s="163">
        <f>((C126*(1-'5.Closing Stock &amp; W Capital'!$D$16))+(B126*'5.Closing Stock &amp; W Capital'!$D$16))*$C184*E$172</f>
        <v>0</v>
      </c>
      <c r="F184" s="163">
        <f>((D126*(1-'5.Closing Stock &amp; W Capital'!$D$16))+(C126*'5.Closing Stock &amp; W Capital'!$D$16))*$C184*F$172</f>
        <v>0</v>
      </c>
      <c r="G184" s="163">
        <f>((E126*(1-'5.Closing Stock &amp; W Capital'!$D$16))+(D126*'5.Closing Stock &amp; W Capital'!$D$16))*$C184*G$172</f>
        <v>0</v>
      </c>
      <c r="H184" s="163">
        <f>((F126*(1-'5.Closing Stock &amp; W Capital'!$D$16))+(E126*'5.Closing Stock &amp; W Capital'!$D$16))*$C184*H$172</f>
        <v>0</v>
      </c>
      <c r="I184" s="163">
        <f>((G126*(1-'5.Closing Stock &amp; W Capital'!$D$16))+(F126*'5.Closing Stock &amp; W Capital'!$D$16))*$C184*I$172</f>
        <v>0</v>
      </c>
      <c r="J184" s="163">
        <f>((H126*(1-'5.Closing Stock &amp; W Capital'!$D$16))+(G126*'5.Closing Stock &amp; W Capital'!$D$16))*$C184*J$172</f>
        <v>0</v>
      </c>
      <c r="K184" s="79"/>
      <c r="L184" s="79"/>
    </row>
    <row r="185" spans="1:12">
      <c r="A185" s="80">
        <f t="shared" si="32"/>
        <v>1</v>
      </c>
      <c r="B185" s="80" t="s">
        <v>349</v>
      </c>
      <c r="C185" s="218"/>
      <c r="D185" s="163" t="e">
        <f>(B127*(1-'5.Closing Stock &amp; W Capital'!$D$16))*$C185*D$172</f>
        <v>#VALUE!</v>
      </c>
      <c r="E185" s="163" t="e">
        <f>((C127*(1-'5.Closing Stock &amp; W Capital'!$D$16))+(B127*'5.Closing Stock &amp; W Capital'!$D$16))*$C185*E$172</f>
        <v>#VALUE!</v>
      </c>
      <c r="F185" s="163">
        <f>((D127*(1-'5.Closing Stock &amp; W Capital'!$D$16))+(C127*'5.Closing Stock &amp; W Capital'!$D$16))*$C185*F$172</f>
        <v>0</v>
      </c>
      <c r="G185" s="163">
        <f>((E127*(1-'5.Closing Stock &amp; W Capital'!$D$16))+(D127*'5.Closing Stock &amp; W Capital'!$D$16))*$C185*G$172</f>
        <v>0</v>
      </c>
      <c r="H185" s="163">
        <f>((F127*(1-'5.Closing Stock &amp; W Capital'!$D$16))+(E127*'5.Closing Stock &amp; W Capital'!$D$16))*$C185*H$172</f>
        <v>0</v>
      </c>
      <c r="I185" s="163">
        <f>((G127*(1-'5.Closing Stock &amp; W Capital'!$D$16))+(F127*'5.Closing Stock &amp; W Capital'!$D$16))*$C185*I$172</f>
        <v>0</v>
      </c>
      <c r="J185" s="163">
        <f>((H127*(1-'5.Closing Stock &amp; W Capital'!$D$16))+(G127*'5.Closing Stock &amp; W Capital'!$D$16))*$C185*J$172</f>
        <v>0</v>
      </c>
      <c r="K185" s="79"/>
      <c r="L185" s="79"/>
    </row>
    <row r="186" spans="1:12">
      <c r="A186" s="80">
        <f t="shared" si="32"/>
        <v>2</v>
      </c>
      <c r="B186" s="80" t="s">
        <v>349</v>
      </c>
      <c r="C186" s="218"/>
      <c r="D186" s="163" t="e">
        <f>(B128*(1-'5.Closing Stock &amp; W Capital'!$D$16))*$C186*D$172</f>
        <v>#VALUE!</v>
      </c>
      <c r="E186" s="163" t="e">
        <f>((C128*(1-'5.Closing Stock &amp; W Capital'!$D$16))+(B128*'5.Closing Stock &amp; W Capital'!$D$16))*$C186*E$172</f>
        <v>#VALUE!</v>
      </c>
      <c r="F186" s="163">
        <f>((D128*(1-'5.Closing Stock &amp; W Capital'!$D$16))+(C128*'5.Closing Stock &amp; W Capital'!$D$16))*$C186*F$172</f>
        <v>0</v>
      </c>
      <c r="G186" s="163">
        <f>((E128*(1-'5.Closing Stock &amp; W Capital'!$D$16))+(D128*'5.Closing Stock &amp; W Capital'!$D$16))*$C186*G$172</f>
        <v>0</v>
      </c>
      <c r="H186" s="163">
        <f>((F128*(1-'5.Closing Stock &amp; W Capital'!$D$16))+(E128*'5.Closing Stock &amp; W Capital'!$D$16))*$C186*H$172</f>
        <v>0</v>
      </c>
      <c r="I186" s="163">
        <f>((G128*(1-'5.Closing Stock &amp; W Capital'!$D$16))+(F128*'5.Closing Stock &amp; W Capital'!$D$16))*$C186*I$172</f>
        <v>0</v>
      </c>
      <c r="J186" s="163">
        <f>((H128*(1-'5.Closing Stock &amp; W Capital'!$D$16))+(G128*'5.Closing Stock &amp; W Capital'!$D$16))*$C186*J$172</f>
        <v>0</v>
      </c>
      <c r="K186" s="79"/>
      <c r="L186" s="79"/>
    </row>
    <row r="187" spans="1:12">
      <c r="A187" s="80">
        <f t="shared" si="32"/>
        <v>3</v>
      </c>
      <c r="B187" s="80" t="s">
        <v>349</v>
      </c>
      <c r="C187" s="218"/>
      <c r="D187" s="163" t="e">
        <f>(B129*(1-'5.Closing Stock &amp; W Capital'!$D$16))*$C187*D$172</f>
        <v>#VALUE!</v>
      </c>
      <c r="E187" s="163" t="e">
        <f>((C129*(1-'5.Closing Stock &amp; W Capital'!$D$16))+(B129*'5.Closing Stock &amp; W Capital'!$D$16))*$C187*E$172</f>
        <v>#VALUE!</v>
      </c>
      <c r="F187" s="163">
        <f>((D129*(1-'5.Closing Stock &amp; W Capital'!$D$16))+(C129*'5.Closing Stock &amp; W Capital'!$D$16))*$C187*F$172</f>
        <v>0</v>
      </c>
      <c r="G187" s="163">
        <f>((E129*(1-'5.Closing Stock &amp; W Capital'!$D$16))+(D129*'5.Closing Stock &amp; W Capital'!$D$16))*$C187*G$172</f>
        <v>0</v>
      </c>
      <c r="H187" s="163">
        <f>((F129*(1-'5.Closing Stock &amp; W Capital'!$D$16))+(E129*'5.Closing Stock &amp; W Capital'!$D$16))*$C187*H$172</f>
        <v>0</v>
      </c>
      <c r="I187" s="163">
        <f>((G129*(1-'5.Closing Stock &amp; W Capital'!$D$16))+(F129*'5.Closing Stock &amp; W Capital'!$D$16))*$C187*I$172</f>
        <v>0</v>
      </c>
      <c r="J187" s="163">
        <f>((H129*(1-'5.Closing Stock &amp; W Capital'!$D$16))+(G129*'5.Closing Stock &amp; W Capital'!$D$16))*$C187*J$172</f>
        <v>0</v>
      </c>
      <c r="K187" s="79"/>
      <c r="L187" s="79"/>
    </row>
    <row r="188" spans="1:12">
      <c r="A188" s="80">
        <f t="shared" si="32"/>
        <v>0</v>
      </c>
      <c r="B188" s="80" t="s">
        <v>349</v>
      </c>
      <c r="C188" s="218">
        <v>5000</v>
      </c>
      <c r="D188" s="163">
        <f>(B130*(1-'5.Closing Stock &amp; W Capital'!$D$16))*$C188*D$172</f>
        <v>0</v>
      </c>
      <c r="E188" s="163">
        <f>((C130*(1-'5.Closing Stock &amp; W Capital'!$D$16))+(B130*'5.Closing Stock &amp; W Capital'!$D$16))*$C188*E$172</f>
        <v>0</v>
      </c>
      <c r="F188" s="163">
        <f>((D130*(1-'5.Closing Stock &amp; W Capital'!$D$16))+(C130*'5.Closing Stock &amp; W Capital'!$D$16))*$C188*F$172</f>
        <v>0</v>
      </c>
      <c r="G188" s="163">
        <f>((E130*(1-'5.Closing Stock &amp; W Capital'!$D$16))+(D130*'5.Closing Stock &amp; W Capital'!$D$16))*$C188*G$172</f>
        <v>0</v>
      </c>
      <c r="H188" s="163">
        <f>((F130*(1-'5.Closing Stock &amp; W Capital'!$D$16))+(E130*'5.Closing Stock &amp; W Capital'!$D$16))*$C188*H$172</f>
        <v>0</v>
      </c>
      <c r="I188" s="163">
        <f>((G130*(1-'5.Closing Stock &amp; W Capital'!$D$16))+(F130*'5.Closing Stock &amp; W Capital'!$D$16))*$C188*I$172</f>
        <v>0</v>
      </c>
      <c r="J188" s="163">
        <f>((H130*(1-'5.Closing Stock &amp; W Capital'!$D$16))+(G130*'5.Closing Stock &amp; W Capital'!$D$16))*$C188*J$172</f>
        <v>0</v>
      </c>
      <c r="K188" s="79"/>
      <c r="L188" s="79"/>
    </row>
    <row r="189" spans="1:12">
      <c r="A189" s="80">
        <f t="shared" si="32"/>
        <v>0</v>
      </c>
      <c r="B189" s="80" t="s">
        <v>349</v>
      </c>
      <c r="C189" s="218"/>
      <c r="D189" s="163">
        <f>(B131*(1-'5.Closing Stock &amp; W Capital'!$D$16))*$C189*D$172</f>
        <v>0</v>
      </c>
      <c r="E189" s="163">
        <f>((C131*(1-'5.Closing Stock &amp; W Capital'!$D$16))+(B131*'5.Closing Stock &amp; W Capital'!$D$16))*$C189*E$172</f>
        <v>0</v>
      </c>
      <c r="F189" s="163">
        <f>((D131*(1-'5.Closing Stock &amp; W Capital'!$D$16))+(C131*'5.Closing Stock &amp; W Capital'!$D$16))*$C189*F$172</f>
        <v>0</v>
      </c>
      <c r="G189" s="163">
        <f>((E131*(1-'5.Closing Stock &amp; W Capital'!$D$16))+(D131*'5.Closing Stock &amp; W Capital'!$D$16))*$C189*G$172</f>
        <v>0</v>
      </c>
      <c r="H189" s="163">
        <f>((F131*(1-'5.Closing Stock &amp; W Capital'!$D$16))+(E131*'5.Closing Stock &amp; W Capital'!$D$16))*$C189*H$172</f>
        <v>0</v>
      </c>
      <c r="I189" s="163">
        <f>((G131*(1-'5.Closing Stock &amp; W Capital'!$D$16))+(F131*'5.Closing Stock &amp; W Capital'!$D$16))*$C189*I$172</f>
        <v>0</v>
      </c>
      <c r="J189" s="163">
        <f>((H131*(1-'5.Closing Stock &amp; W Capital'!$D$16))+(G131*'5.Closing Stock &amp; W Capital'!$D$16))*$C189*J$172</f>
        <v>0</v>
      </c>
      <c r="K189" s="79"/>
      <c r="L189" s="79"/>
    </row>
    <row r="190" spans="1:12">
      <c r="A190" s="80">
        <f t="shared" si="32"/>
        <v>0</v>
      </c>
      <c r="B190" s="80" t="s">
        <v>349</v>
      </c>
      <c r="C190" s="218"/>
      <c r="D190" s="163">
        <f>(B132*(1-'5.Closing Stock &amp; W Capital'!$D$16))*$C190*D$172</f>
        <v>0</v>
      </c>
      <c r="E190" s="163">
        <f>((C132*(1-'5.Closing Stock &amp; W Capital'!$D$16))+(B132*'5.Closing Stock &amp; W Capital'!$D$16))*$C190*E$172</f>
        <v>0</v>
      </c>
      <c r="F190" s="163">
        <f>((D132*(1-'5.Closing Stock &amp; W Capital'!$D$16))+(C132*'5.Closing Stock &amp; W Capital'!$D$16))*$C190*F$172</f>
        <v>0</v>
      </c>
      <c r="G190" s="163">
        <f>((E132*(1-'5.Closing Stock &amp; W Capital'!$D$16))+(D132*'5.Closing Stock &amp; W Capital'!$D$16))*$C190*G$172</f>
        <v>0</v>
      </c>
      <c r="H190" s="163">
        <f>((F132*(1-'5.Closing Stock &amp; W Capital'!$D$16))+(E132*'5.Closing Stock &amp; W Capital'!$D$16))*$C190*H$172</f>
        <v>0</v>
      </c>
      <c r="I190" s="163">
        <f>((G132*(1-'5.Closing Stock &amp; W Capital'!$D$16))+(F132*'5.Closing Stock &amp; W Capital'!$D$16))*$C190*I$172</f>
        <v>0</v>
      </c>
      <c r="J190" s="163">
        <f>((H132*(1-'5.Closing Stock &amp; W Capital'!$D$16))+(G132*'5.Closing Stock &amp; W Capital'!$D$16))*$C190*J$172</f>
        <v>0</v>
      </c>
      <c r="K190" s="79"/>
      <c r="L190" s="79"/>
    </row>
    <row r="191" spans="1:12">
      <c r="A191" s="80">
        <f t="shared" si="32"/>
        <v>0</v>
      </c>
      <c r="B191" s="80" t="s">
        <v>349</v>
      </c>
      <c r="C191" s="218"/>
      <c r="D191" s="163">
        <f>(B133*(1-'5.Closing Stock &amp; W Capital'!$D$16))*$C191*D$172</f>
        <v>0</v>
      </c>
      <c r="E191" s="163">
        <f>((C133*(1-'5.Closing Stock &amp; W Capital'!$D$16))+(B133*'5.Closing Stock &amp; W Capital'!$D$16))*$C191*E$172</f>
        <v>0</v>
      </c>
      <c r="F191" s="163">
        <f>((D133*(1-'5.Closing Stock &amp; W Capital'!$D$16))+(C133*'5.Closing Stock &amp; W Capital'!$D$16))*$C191*F$172</f>
        <v>0</v>
      </c>
      <c r="G191" s="163">
        <f>((E133*(1-'5.Closing Stock &amp; W Capital'!$D$16))+(D133*'5.Closing Stock &amp; W Capital'!$D$16))*$C191*G$172</f>
        <v>0</v>
      </c>
      <c r="H191" s="163">
        <f>((F133*(1-'5.Closing Stock &amp; W Capital'!$D$16))+(E133*'5.Closing Stock &amp; W Capital'!$D$16))*$C191*H$172</f>
        <v>0</v>
      </c>
      <c r="I191" s="163">
        <f>((G133*(1-'5.Closing Stock &amp; W Capital'!$D$16))+(F133*'5.Closing Stock &amp; W Capital'!$D$16))*$C191*I$172</f>
        <v>0</v>
      </c>
      <c r="J191" s="163">
        <f>((H133*(1-'5.Closing Stock &amp; W Capital'!$D$16))+(G133*'5.Closing Stock &amp; W Capital'!$D$16))*$C191*J$172</f>
        <v>0</v>
      </c>
      <c r="K191" s="79"/>
      <c r="L191" s="79"/>
    </row>
    <row r="192" spans="1:12">
      <c r="A192" s="80">
        <f t="shared" si="32"/>
        <v>0</v>
      </c>
      <c r="B192" s="80" t="s">
        <v>349</v>
      </c>
      <c r="C192" s="218"/>
      <c r="D192" s="163">
        <f>(B134*(1-'5.Closing Stock &amp; W Capital'!$D$16))*$C192*D$172</f>
        <v>0</v>
      </c>
      <c r="E192" s="163">
        <f>((C134*(1-'5.Closing Stock &amp; W Capital'!$D$16))+(B134*'5.Closing Stock &amp; W Capital'!$D$16))*$C192*E$172</f>
        <v>0</v>
      </c>
      <c r="F192" s="163">
        <f>((D134*(1-'5.Closing Stock &amp; W Capital'!$D$16))+(C134*'5.Closing Stock &amp; W Capital'!$D$16))*$C192*F$172</f>
        <v>0</v>
      </c>
      <c r="G192" s="163">
        <f>((E134*(1-'5.Closing Stock &amp; W Capital'!$D$16))+(D134*'5.Closing Stock &amp; W Capital'!$D$16))*$C192*G$172</f>
        <v>0</v>
      </c>
      <c r="H192" s="163">
        <f>((F134*(1-'5.Closing Stock &amp; W Capital'!$D$16))+(E134*'5.Closing Stock &amp; W Capital'!$D$16))*$C192*H$172</f>
        <v>0</v>
      </c>
      <c r="I192" s="163">
        <f>((G134*(1-'5.Closing Stock &amp; W Capital'!$D$16))+(F134*'5.Closing Stock &amp; W Capital'!$D$16))*$C192*I$172</f>
        <v>0</v>
      </c>
      <c r="J192" s="163">
        <f>((H134*(1-'5.Closing Stock &amp; W Capital'!$D$16))+(G134*'5.Closing Stock &amp; W Capital'!$D$16))*$C192*J$172</f>
        <v>0</v>
      </c>
      <c r="K192" s="79"/>
      <c r="L192" s="79"/>
    </row>
    <row r="193" spans="1:12">
      <c r="A193" s="80">
        <f t="shared" si="32"/>
        <v>0</v>
      </c>
      <c r="B193" s="80" t="s">
        <v>349</v>
      </c>
      <c r="C193" s="218"/>
      <c r="D193" s="163">
        <f>(B135*(1-'5.Closing Stock &amp; W Capital'!$D$16))*$C193*D$172</f>
        <v>0</v>
      </c>
      <c r="E193" s="163">
        <f>((C135*(1-'5.Closing Stock &amp; W Capital'!$D$16))+(B135*'5.Closing Stock &amp; W Capital'!$D$16))*$C193*E$172</f>
        <v>0</v>
      </c>
      <c r="F193" s="163">
        <f>((D135*(1-'5.Closing Stock &amp; W Capital'!$D$16))+(C135*'5.Closing Stock &amp; W Capital'!$D$16))*$C193*F$172</f>
        <v>0</v>
      </c>
      <c r="G193" s="163">
        <f>((E135*(1-'5.Closing Stock &amp; W Capital'!$D$16))+(D135*'5.Closing Stock &amp; W Capital'!$D$16))*$C193*G$172</f>
        <v>0</v>
      </c>
      <c r="H193" s="163">
        <f>((F135*(1-'5.Closing Stock &amp; W Capital'!$D$16))+(E135*'5.Closing Stock &amp; W Capital'!$D$16))*$C193*H$172</f>
        <v>0</v>
      </c>
      <c r="I193" s="163">
        <f>((G135*(1-'5.Closing Stock &amp; W Capital'!$D$16))+(F135*'5.Closing Stock &amp; W Capital'!$D$16))*$C193*I$172</f>
        <v>0</v>
      </c>
      <c r="J193" s="163">
        <f>((H135*(1-'5.Closing Stock &amp; W Capital'!$D$16))+(G135*'5.Closing Stock &amp; W Capital'!$D$16))*$C193*J$172</f>
        <v>0</v>
      </c>
      <c r="K193" s="79"/>
      <c r="L193" s="79"/>
    </row>
    <row r="194" spans="1:12">
      <c r="A194" s="80">
        <f t="shared" si="32"/>
        <v>0</v>
      </c>
      <c r="B194" s="80" t="s">
        <v>349</v>
      </c>
      <c r="C194" s="218"/>
      <c r="D194" s="163">
        <f>(B136*(1-'5.Closing Stock &amp; W Capital'!$D$16))*$C194*D$172</f>
        <v>0</v>
      </c>
      <c r="E194" s="163">
        <f>((C136*(1-'5.Closing Stock &amp; W Capital'!$D$16))+(B136*'5.Closing Stock &amp; W Capital'!$D$16))*$C194*E$172</f>
        <v>0</v>
      </c>
      <c r="F194" s="163">
        <f>((D136*(1-'5.Closing Stock &amp; W Capital'!$D$16))+(C136*'5.Closing Stock &amp; W Capital'!$D$16))*$C194*F$172</f>
        <v>0</v>
      </c>
      <c r="G194" s="163">
        <f>((E136*(1-'5.Closing Stock &amp; W Capital'!$D$16))+(D136*'5.Closing Stock &amp; W Capital'!$D$16))*$C194*G$172</f>
        <v>0</v>
      </c>
      <c r="H194" s="163">
        <f>((F136*(1-'5.Closing Stock &amp; W Capital'!$D$16))+(E136*'5.Closing Stock &amp; W Capital'!$D$16))*$C194*H$172</f>
        <v>0</v>
      </c>
      <c r="I194" s="163">
        <f>((G136*(1-'5.Closing Stock &amp; W Capital'!$D$16))+(F136*'5.Closing Stock &amp; W Capital'!$D$16))*$C194*I$172</f>
        <v>0</v>
      </c>
      <c r="J194" s="163">
        <f>((H136*(1-'5.Closing Stock &amp; W Capital'!$D$16))+(G136*'5.Closing Stock &amp; W Capital'!$D$16))*$C194*J$172</f>
        <v>0</v>
      </c>
      <c r="K194" s="79"/>
      <c r="L194" s="79"/>
    </row>
    <row r="195" spans="1:12">
      <c r="A195" s="80">
        <f t="shared" si="32"/>
        <v>0</v>
      </c>
      <c r="B195" s="80" t="s">
        <v>349</v>
      </c>
      <c r="C195" s="218"/>
      <c r="D195" s="163">
        <f>(B137*(1-'5.Closing Stock &amp; W Capital'!$D$16))*$C195*D$172</f>
        <v>0</v>
      </c>
      <c r="E195" s="163">
        <f>((C137*(1-'5.Closing Stock &amp; W Capital'!$D$16))+(B137*'5.Closing Stock &amp; W Capital'!$D$16))*$C195*E$172</f>
        <v>0</v>
      </c>
      <c r="F195" s="163">
        <f>((D137*(1-'5.Closing Stock &amp; W Capital'!$D$16))+(C137*'5.Closing Stock &amp; W Capital'!$D$16))*$C195*F$172</f>
        <v>0</v>
      </c>
      <c r="G195" s="163">
        <f>((E137*(1-'5.Closing Stock &amp; W Capital'!$D$16))+(D137*'5.Closing Stock &amp; W Capital'!$D$16))*$C195*G$172</f>
        <v>0</v>
      </c>
      <c r="H195" s="163">
        <f>((F137*(1-'5.Closing Stock &amp; W Capital'!$D$16))+(E137*'5.Closing Stock &amp; W Capital'!$D$16))*$C195*H$172</f>
        <v>0</v>
      </c>
      <c r="I195" s="163">
        <f>((G137*(1-'5.Closing Stock &amp; W Capital'!$D$16))+(F137*'5.Closing Stock &amp; W Capital'!$D$16))*$C195*I$172</f>
        <v>0</v>
      </c>
      <c r="J195" s="163">
        <f>((H137*(1-'5.Closing Stock &amp; W Capital'!$D$16))+(G137*'5.Closing Stock &amp; W Capital'!$D$16))*$C195*J$172</f>
        <v>0</v>
      </c>
      <c r="K195" s="79"/>
      <c r="L195" s="79"/>
    </row>
    <row r="196" spans="1:12">
      <c r="A196" s="80">
        <f t="shared" si="32"/>
        <v>0</v>
      </c>
      <c r="B196" s="80" t="s">
        <v>349</v>
      </c>
      <c r="C196" s="218"/>
      <c r="D196" s="163">
        <f>(B138*(1-'5.Closing Stock &amp; W Capital'!$D$16))*$C196*D$172</f>
        <v>0</v>
      </c>
      <c r="E196" s="163">
        <f>((C138*(1-'5.Closing Stock &amp; W Capital'!$D$16))+(B138*'5.Closing Stock &amp; W Capital'!$D$16))*$C196*E$172</f>
        <v>0</v>
      </c>
      <c r="F196" s="163">
        <f>((D138*(1-'5.Closing Stock &amp; W Capital'!$D$16))+(C138*'5.Closing Stock &amp; W Capital'!$D$16))*$C196*F$172</f>
        <v>0</v>
      </c>
      <c r="G196" s="163">
        <f>((E138*(1-'5.Closing Stock &amp; W Capital'!$D$16))+(D138*'5.Closing Stock &amp; W Capital'!$D$16))*$C196*G$172</f>
        <v>0</v>
      </c>
      <c r="H196" s="163">
        <f>((F138*(1-'5.Closing Stock &amp; W Capital'!$D$16))+(E138*'5.Closing Stock &amp; W Capital'!$D$16))*$C196*H$172</f>
        <v>0</v>
      </c>
      <c r="I196" s="163">
        <f>((G138*(1-'5.Closing Stock &amp; W Capital'!$D$16))+(F138*'5.Closing Stock &amp; W Capital'!$D$16))*$C196*I$172</f>
        <v>0</v>
      </c>
      <c r="J196" s="163">
        <f>((H138*(1-'5.Closing Stock &amp; W Capital'!$D$16))+(G138*'5.Closing Stock &amp; W Capital'!$D$16))*$C196*J$172</f>
        <v>0</v>
      </c>
      <c r="K196" s="79"/>
      <c r="L196" s="79"/>
    </row>
    <row r="197" spans="1:12">
      <c r="A197" s="80">
        <f t="shared" si="32"/>
        <v>0</v>
      </c>
      <c r="B197" s="80" t="s">
        <v>349</v>
      </c>
      <c r="C197" s="218"/>
      <c r="D197" s="163">
        <f>(B139*(1-'5.Closing Stock &amp; W Capital'!$D$16))*$C197*D$172</f>
        <v>0</v>
      </c>
      <c r="E197" s="163">
        <f>((C139*(1-'5.Closing Stock &amp; W Capital'!$D$16))+(B139*'5.Closing Stock &amp; W Capital'!$D$16))*$C197*E$172</f>
        <v>0</v>
      </c>
      <c r="F197" s="163">
        <f>((D139*(1-'5.Closing Stock &amp; W Capital'!$D$16))+(C139*'5.Closing Stock &amp; W Capital'!$D$16))*$C197*F$172</f>
        <v>0</v>
      </c>
      <c r="G197" s="163">
        <f>((E139*(1-'5.Closing Stock &amp; W Capital'!$D$16))+(D139*'5.Closing Stock &amp; W Capital'!$D$16))*$C197*G$172</f>
        <v>0</v>
      </c>
      <c r="H197" s="163">
        <f>((F139*(1-'5.Closing Stock &amp; W Capital'!$D$16))+(E139*'5.Closing Stock &amp; W Capital'!$D$16))*$C197*H$172</f>
        <v>0</v>
      </c>
      <c r="I197" s="163">
        <f>((G139*(1-'5.Closing Stock &amp; W Capital'!$D$16))+(F139*'5.Closing Stock &amp; W Capital'!$D$16))*$C197*I$172</f>
        <v>0</v>
      </c>
      <c r="J197" s="163">
        <f>((H139*(1-'5.Closing Stock &amp; W Capital'!$D$16))+(G139*'5.Closing Stock &amp; W Capital'!$D$16))*$C197*J$172</f>
        <v>0</v>
      </c>
      <c r="K197" s="79"/>
      <c r="L197" s="79"/>
    </row>
    <row r="198" spans="1:12">
      <c r="A198" s="80">
        <f t="shared" si="32"/>
        <v>0</v>
      </c>
      <c r="B198" s="80" t="s">
        <v>349</v>
      </c>
      <c r="C198" s="218"/>
      <c r="D198" s="163">
        <f>(B140*(1-'5.Closing Stock &amp; W Capital'!$D$16))*$C198*D$172</f>
        <v>0</v>
      </c>
      <c r="E198" s="163">
        <f>((C140*(1-'5.Closing Stock &amp; W Capital'!$D$16))+(B140*'5.Closing Stock &amp; W Capital'!$D$16))*$C198*E$172</f>
        <v>0</v>
      </c>
      <c r="F198" s="163">
        <f>((D140*(1-'5.Closing Stock &amp; W Capital'!$D$16))+(C140*'5.Closing Stock &amp; W Capital'!$D$16))*$C198*F$172</f>
        <v>0</v>
      </c>
      <c r="G198" s="163">
        <f>((E140*(1-'5.Closing Stock &amp; W Capital'!$D$16))+(D140*'5.Closing Stock &amp; W Capital'!$D$16))*$C198*G$172</f>
        <v>0</v>
      </c>
      <c r="H198" s="163">
        <f>((F140*(1-'5.Closing Stock &amp; W Capital'!$D$16))+(E140*'5.Closing Stock &amp; W Capital'!$D$16))*$C198*H$172</f>
        <v>0</v>
      </c>
      <c r="I198" s="163">
        <f>((G140*(1-'5.Closing Stock &amp; W Capital'!$D$16))+(F140*'5.Closing Stock &amp; W Capital'!$D$16))*$C198*I$172</f>
        <v>0</v>
      </c>
      <c r="J198" s="163">
        <f>((H140*(1-'5.Closing Stock &amp; W Capital'!$D$16))+(G140*'5.Closing Stock &amp; W Capital'!$D$16))*$C198*J$172</f>
        <v>0</v>
      </c>
      <c r="K198" s="79"/>
      <c r="L198" s="79"/>
    </row>
    <row r="199" spans="1:12">
      <c r="A199" s="80"/>
      <c r="B199" s="80" t="s">
        <v>349</v>
      </c>
      <c r="C199" s="218"/>
      <c r="D199" s="163">
        <f>(B141*(1-'5.Closing Stock &amp; W Capital'!$D$16))*$C199*D$172</f>
        <v>0</v>
      </c>
      <c r="E199" s="163">
        <f>((C141*(1-'5.Closing Stock &amp; W Capital'!$D$16))+(B141*'5.Closing Stock &amp; W Capital'!$D$16))*$C199*E$172</f>
        <v>0</v>
      </c>
      <c r="F199" s="163">
        <f>((D141*(1-'5.Closing Stock &amp; W Capital'!$D$16))+(C141*'5.Closing Stock &amp; W Capital'!$D$16))*$C199*F$172</f>
        <v>0</v>
      </c>
      <c r="G199" s="163">
        <f>((E141*(1-'5.Closing Stock &amp; W Capital'!$D$16))+(D141*'5.Closing Stock &amp; W Capital'!$D$16))*$C199*G$172</f>
        <v>0</v>
      </c>
      <c r="H199" s="163">
        <f>((F141*(1-'5.Closing Stock &amp; W Capital'!$D$16))+(E141*'5.Closing Stock &amp; W Capital'!$D$16))*$C199*H$172</f>
        <v>0</v>
      </c>
      <c r="I199" s="163">
        <f>((G141*(1-'5.Closing Stock &amp; W Capital'!$D$16))+(F141*'5.Closing Stock &amp; W Capital'!$D$16))*$C199*I$172</f>
        <v>0</v>
      </c>
      <c r="J199" s="163">
        <f>((H141*(1-'5.Closing Stock &amp; W Capital'!$D$16))+(G141*'5.Closing Stock &amp; W Capital'!$D$16))*$C199*J$172</f>
        <v>0</v>
      </c>
      <c r="K199" s="79"/>
      <c r="L199" s="79"/>
    </row>
    <row r="200" spans="1:12">
      <c r="A200" s="82" t="s">
        <v>283</v>
      </c>
      <c r="B200" s="80" t="s">
        <v>349</v>
      </c>
      <c r="C200" s="196">
        <v>50</v>
      </c>
      <c r="D200" s="163">
        <f t="shared" ref="D200:J200" si="33">B65*$C$200*D172</f>
        <v>25</v>
      </c>
      <c r="E200" s="163">
        <f t="shared" si="33"/>
        <v>26.25</v>
      </c>
      <c r="F200" s="163">
        <f t="shared" si="33"/>
        <v>27.5625</v>
      </c>
      <c r="G200" s="163">
        <f t="shared" si="33"/>
        <v>28.940625000000004</v>
      </c>
      <c r="H200" s="163">
        <f t="shared" si="33"/>
        <v>30.387656250000006</v>
      </c>
      <c r="I200" s="163">
        <f t="shared" si="33"/>
        <v>31.907039062500008</v>
      </c>
      <c r="J200" s="163">
        <f t="shared" si="33"/>
        <v>33.502391015625008</v>
      </c>
      <c r="K200" s="79"/>
      <c r="L200" s="79"/>
    </row>
    <row r="201" spans="1:12">
      <c r="A201" s="82"/>
      <c r="B201" s="82"/>
      <c r="C201" s="82"/>
      <c r="D201" s="80"/>
      <c r="E201" s="80"/>
      <c r="F201" s="80"/>
      <c r="G201" s="80"/>
      <c r="H201" s="80"/>
      <c r="I201" s="80"/>
      <c r="J201" s="80"/>
      <c r="K201" s="79"/>
      <c r="L201" s="79"/>
    </row>
    <row r="202" spans="1:12">
      <c r="A202" s="82" t="str">
        <f t="shared" ref="A202:A220" si="34">A143</f>
        <v>Grains Crops and  Production Details</v>
      </c>
      <c r="B202" s="82"/>
      <c r="C202" s="82"/>
      <c r="D202" s="80"/>
      <c r="E202" s="80"/>
      <c r="F202" s="80"/>
      <c r="G202" s="80"/>
      <c r="H202" s="80"/>
      <c r="I202" s="80"/>
      <c r="J202" s="80"/>
      <c r="K202" s="79"/>
      <c r="L202" s="79"/>
    </row>
    <row r="203" spans="1:12">
      <c r="A203" s="82" t="str">
        <f t="shared" si="34"/>
        <v>Flax seed</v>
      </c>
      <c r="B203" s="80" t="s">
        <v>349</v>
      </c>
      <c r="C203" s="292">
        <v>2000</v>
      </c>
      <c r="D203" s="163">
        <f>(B144*(1-'5.Closing Stock &amp; W Capital'!$D$16))*$C203*D$172</f>
        <v>-2752026.666666667</v>
      </c>
      <c r="E203" s="163">
        <f>((C144*(1-'5.Closing Stock &amp; W Capital'!$D$16))+(B144*'5.Closing Stock &amp; W Capital'!$D$16))*$C203*E$172</f>
        <v>-72506.000000000422</v>
      </c>
      <c r="F203" s="163">
        <f>((D144*(1-'5.Closing Stock &amp; W Capital'!$D$16))+(C144*'5.Closing Stock &amp; W Capital'!$D$16))*$C203*F$172</f>
        <v>-55213.199999999924</v>
      </c>
      <c r="G203" s="163">
        <f>((E144*(1-'5.Closing Stock &amp; W Capital'!$D$16))+(D144*'5.Closing Stock &amp; W Capital'!$D$16))*$C203*G$172</f>
        <v>-36009.855000000418</v>
      </c>
      <c r="H203" s="163">
        <f>((F144*(1-'5.Closing Stock &amp; W Capital'!$D$16))+(E144*'5.Closing Stock &amp; W Capital'!$D$16))*$C203*H$172</f>
        <v>-14748.142500000407</v>
      </c>
      <c r="I203" s="163">
        <f>((G144*(1-'5.Closing Stock &amp; W Capital'!$D$16))+(F144*'5.Closing Stock &amp; W Capital'!$D$16))*$C203*I$172</f>
        <v>8729.7658874996087</v>
      </c>
      <c r="J203" s="163">
        <f>((H144*(1-'5.Closing Stock &amp; W Capital'!$D$16))+(G144*'5.Closing Stock &amp; W Capital'!$D$16))*$C203*J$172</f>
        <v>34592.335470000238</v>
      </c>
      <c r="K203" s="79"/>
      <c r="L203" s="79"/>
    </row>
    <row r="204" spans="1:12">
      <c r="A204" s="82" t="e">
        <f t="shared" si="34"/>
        <v>#REF!</v>
      </c>
      <c r="B204" s="80" t="s">
        <v>349</v>
      </c>
      <c r="C204" s="218">
        <v>1000</v>
      </c>
      <c r="D204" s="163" t="e">
        <f>(B145*(1-'5.Closing Stock &amp; W Capital'!$D$16))*$C204*D$172</f>
        <v>#REF!</v>
      </c>
      <c r="E204" s="163" t="e">
        <f>((C145*(1-'5.Closing Stock &amp; W Capital'!$D$16))+(B145*'5.Closing Stock &amp; W Capital'!$D$16))*$C204*E$172</f>
        <v>#REF!</v>
      </c>
      <c r="F204" s="163" t="e">
        <f>((D145*(1-'5.Closing Stock &amp; W Capital'!$D$16))+(C145*'5.Closing Stock &amp; W Capital'!$D$16))*$C204*F$172</f>
        <v>#REF!</v>
      </c>
      <c r="G204" s="163" t="e">
        <f>((E145*(1-'5.Closing Stock &amp; W Capital'!$D$16))+(D145*'5.Closing Stock &amp; W Capital'!$D$16))*$C204*G$172</f>
        <v>#REF!</v>
      </c>
      <c r="H204" s="163" t="e">
        <f>((F145*(1-'5.Closing Stock &amp; W Capital'!$D$16))+(E145*'5.Closing Stock &amp; W Capital'!$D$16))*$C204*H$172</f>
        <v>#REF!</v>
      </c>
      <c r="I204" s="163" t="e">
        <f>((G145*(1-'5.Closing Stock &amp; W Capital'!$D$16))+(F145*'5.Closing Stock &amp; W Capital'!$D$16))*$C204*I$172</f>
        <v>#REF!</v>
      </c>
      <c r="J204" s="163" t="e">
        <f>((H145*(1-'5.Closing Stock &amp; W Capital'!$D$16))+(G145*'5.Closing Stock &amp; W Capital'!$D$16))*$C204*J$172</f>
        <v>#REF!</v>
      </c>
      <c r="K204" s="79"/>
      <c r="L204" s="79"/>
    </row>
    <row r="205" spans="1:12">
      <c r="A205" s="82" t="e">
        <f t="shared" si="34"/>
        <v>#REF!</v>
      </c>
      <c r="B205" s="80" t="s">
        <v>349</v>
      </c>
      <c r="C205" s="218">
        <v>1500</v>
      </c>
      <c r="D205" s="163" t="e">
        <f>(B146*(1-'5.Closing Stock &amp; W Capital'!$D$16))*$C205*D$172</f>
        <v>#REF!</v>
      </c>
      <c r="E205" s="163" t="e">
        <f>((C146*(1-'5.Closing Stock &amp; W Capital'!$D$16))+(B146*'5.Closing Stock &amp; W Capital'!$D$16))*$C205*E$172</f>
        <v>#REF!</v>
      </c>
      <c r="F205" s="163" t="e">
        <f>((D146*(1-'5.Closing Stock &amp; W Capital'!$D$16))+(C146*'5.Closing Stock &amp; W Capital'!$D$16))*$C205*F$172</f>
        <v>#REF!</v>
      </c>
      <c r="G205" s="163" t="e">
        <f>((E146*(1-'5.Closing Stock &amp; W Capital'!$D$16))+(D146*'5.Closing Stock &amp; W Capital'!$D$16))*$C205*G$172</f>
        <v>#REF!</v>
      </c>
      <c r="H205" s="163" t="e">
        <f>((F146*(1-'5.Closing Stock &amp; W Capital'!$D$16))+(E146*'5.Closing Stock &amp; W Capital'!$D$16))*$C205*H$172</f>
        <v>#REF!</v>
      </c>
      <c r="I205" s="163" t="e">
        <f>((G146*(1-'5.Closing Stock &amp; W Capital'!$D$16))+(F146*'5.Closing Stock &amp; W Capital'!$D$16))*$C205*I$172</f>
        <v>#REF!</v>
      </c>
      <c r="J205" s="163" t="e">
        <f>((H146*(1-'5.Closing Stock &amp; W Capital'!$D$16))+(G146*'5.Closing Stock &amp; W Capital'!$D$16))*$C205*J$172</f>
        <v>#REF!</v>
      </c>
      <c r="K205" s="79"/>
      <c r="L205" s="79"/>
    </row>
    <row r="206" spans="1:12">
      <c r="A206" s="82" t="str">
        <f t="shared" si="34"/>
        <v xml:space="preserve">Safflower Seed </v>
      </c>
      <c r="B206" s="80" t="s">
        <v>349</v>
      </c>
      <c r="C206" s="218">
        <v>3000</v>
      </c>
      <c r="D206" s="163">
        <f>(B147*(1-'5.Closing Stock &amp; W Capital'!$D$16))*$C206*D$172</f>
        <v>-2064020.0000000002</v>
      </c>
      <c r="E206" s="163">
        <f>((C147*(1-'5.Closing Stock &amp; W Capital'!$D$16))+(B147*'5.Closing Stock &amp; W Capital'!$D$16))*$C206*E$172</f>
        <v>-54379.50000000032</v>
      </c>
      <c r="F206" s="163">
        <f>((D147*(1-'5.Closing Stock &amp; W Capital'!$D$16))+(C147*'5.Closing Stock &amp; W Capital'!$D$16))*$C206*F$172</f>
        <v>-41409.899999999936</v>
      </c>
      <c r="G206" s="163">
        <f>((E147*(1-'5.Closing Stock &amp; W Capital'!$D$16))+(D147*'5.Closing Stock &amp; W Capital'!$D$16))*$C206*G$172</f>
        <v>-27007.391250000313</v>
      </c>
      <c r="H206" s="163">
        <f>((F147*(1-'5.Closing Stock &amp; W Capital'!$D$16))+(E147*'5.Closing Stock &amp; W Capital'!$D$16))*$C206*H$172</f>
        <v>-11061.106875000307</v>
      </c>
      <c r="I206" s="163">
        <f>((G147*(1-'5.Closing Stock &amp; W Capital'!$D$16))+(F147*'5.Closing Stock &amp; W Capital'!$D$16))*$C206*I$172</f>
        <v>6547.3244156247056</v>
      </c>
      <c r="J206" s="163">
        <f>((H147*(1-'5.Closing Stock &amp; W Capital'!$D$16))+(G147*'5.Closing Stock &amp; W Capital'!$D$16))*$C206*J$172</f>
        <v>25944.251602500179</v>
      </c>
      <c r="K206" s="79"/>
      <c r="L206" s="79"/>
    </row>
    <row r="207" spans="1:12">
      <c r="A207" s="82" t="e">
        <f t="shared" si="34"/>
        <v>#REF!</v>
      </c>
      <c r="B207" s="80" t="s">
        <v>349</v>
      </c>
      <c r="C207" s="218">
        <v>1500</v>
      </c>
      <c r="D207" s="163" t="e">
        <f>(B148*(1-'5.Closing Stock &amp; W Capital'!$D$16))*$C207*D$172</f>
        <v>#REF!</v>
      </c>
      <c r="E207" s="163" t="e">
        <f>((C148*(1-'5.Closing Stock &amp; W Capital'!$D$16))+(B148*'5.Closing Stock &amp; W Capital'!$D$16))*$C207*E$172</f>
        <v>#REF!</v>
      </c>
      <c r="F207" s="163" t="e">
        <f>((D148*(1-'5.Closing Stock &amp; W Capital'!$D$16))+(C148*'5.Closing Stock &amp; W Capital'!$D$16))*$C207*F$172</f>
        <v>#REF!</v>
      </c>
      <c r="G207" s="163" t="e">
        <f>((E148*(1-'5.Closing Stock &amp; W Capital'!$D$16))+(D148*'5.Closing Stock &amp; W Capital'!$D$16))*$C207*G$172</f>
        <v>#REF!</v>
      </c>
      <c r="H207" s="163" t="e">
        <f>((F148*(1-'5.Closing Stock &amp; W Capital'!$D$16))+(E148*'5.Closing Stock &amp; W Capital'!$D$16))*$C207*H$172</f>
        <v>#REF!</v>
      </c>
      <c r="I207" s="163" t="e">
        <f>((G148*(1-'5.Closing Stock &amp; W Capital'!$D$16))+(F148*'5.Closing Stock &amp; W Capital'!$D$16))*$C207*I$172</f>
        <v>#REF!</v>
      </c>
      <c r="J207" s="163" t="e">
        <f>((H148*(1-'5.Closing Stock &amp; W Capital'!$D$16))+(G148*'5.Closing Stock &amp; W Capital'!$D$16))*$C207*J$172</f>
        <v>#REF!</v>
      </c>
      <c r="K207" s="79"/>
      <c r="L207" s="79"/>
    </row>
    <row r="208" spans="1:12">
      <c r="A208" s="82" t="e">
        <f t="shared" si="34"/>
        <v>#REF!</v>
      </c>
      <c r="B208" s="80" t="s">
        <v>349</v>
      </c>
      <c r="C208" s="196"/>
      <c r="D208" s="163" t="e">
        <f>(B149*(1-'5.Closing Stock &amp; W Capital'!$D$16))*$C208*D$172</f>
        <v>#REF!</v>
      </c>
      <c r="E208" s="163" t="e">
        <f>((C149*(1-'5.Closing Stock &amp; W Capital'!$D$16))+(B149*'5.Closing Stock &amp; W Capital'!$D$16))*$C208*E$172</f>
        <v>#REF!</v>
      </c>
      <c r="F208" s="163" t="e">
        <f>((D149*(1-'5.Closing Stock &amp; W Capital'!$D$16))+(C149*'5.Closing Stock &amp; W Capital'!$D$16))*$C208*F$172</f>
        <v>#REF!</v>
      </c>
      <c r="G208" s="163" t="e">
        <f>((E149*(1-'5.Closing Stock &amp; W Capital'!$D$16))+(D149*'5.Closing Stock &amp; W Capital'!$D$16))*$C208*G$172</f>
        <v>#REF!</v>
      </c>
      <c r="H208" s="163" t="e">
        <f>((F149*(1-'5.Closing Stock &amp; W Capital'!$D$16))+(E149*'5.Closing Stock &amp; W Capital'!$D$16))*$C208*H$172</f>
        <v>#REF!</v>
      </c>
      <c r="I208" s="163" t="e">
        <f>((G149*(1-'5.Closing Stock &amp; W Capital'!$D$16))+(F149*'5.Closing Stock &amp; W Capital'!$D$16))*$C208*I$172</f>
        <v>#REF!</v>
      </c>
      <c r="J208" s="163" t="e">
        <f>((H149*(1-'5.Closing Stock &amp; W Capital'!$D$16))+(G149*'5.Closing Stock &amp; W Capital'!$D$16))*$C208*J$172</f>
        <v>#REF!</v>
      </c>
      <c r="K208" s="79"/>
      <c r="L208" s="79"/>
    </row>
    <row r="209" spans="1:12">
      <c r="A209" s="82" t="e">
        <f t="shared" si="34"/>
        <v>#REF!</v>
      </c>
      <c r="B209" s="80" t="s">
        <v>349</v>
      </c>
      <c r="C209" s="196"/>
      <c r="D209" s="163" t="e">
        <f>(B150*(1-'5.Closing Stock &amp; W Capital'!$D$16))*$C209*D$172</f>
        <v>#REF!</v>
      </c>
      <c r="E209" s="163" t="e">
        <f>((C150*(1-'5.Closing Stock &amp; W Capital'!$D$16))+(B150*'5.Closing Stock &amp; W Capital'!$D$16))*$C209*E$172</f>
        <v>#REF!</v>
      </c>
      <c r="F209" s="163" t="e">
        <f>((D150*(1-'5.Closing Stock &amp; W Capital'!$D$16))+(C150*'5.Closing Stock &amp; W Capital'!$D$16))*$C209*F$172</f>
        <v>#REF!</v>
      </c>
      <c r="G209" s="163" t="e">
        <f>((E150*(1-'5.Closing Stock &amp; W Capital'!$D$16))+(D150*'5.Closing Stock &amp; W Capital'!$D$16))*$C209*G$172</f>
        <v>#REF!</v>
      </c>
      <c r="H209" s="163" t="e">
        <f>((F150*(1-'5.Closing Stock &amp; W Capital'!$D$16))+(E150*'5.Closing Stock &amp; W Capital'!$D$16))*$C209*H$172</f>
        <v>#REF!</v>
      </c>
      <c r="I209" s="163" t="e">
        <f>((G150*(1-'5.Closing Stock &amp; W Capital'!$D$16))+(F150*'5.Closing Stock &amp; W Capital'!$D$16))*$C209*I$172</f>
        <v>#REF!</v>
      </c>
      <c r="J209" s="163" t="e">
        <f>((H150*(1-'5.Closing Stock &amp; W Capital'!$D$16))+(G150*'5.Closing Stock &amp; W Capital'!$D$16))*$C209*J$172</f>
        <v>#REF!</v>
      </c>
      <c r="K209" s="79"/>
      <c r="L209" s="79"/>
    </row>
    <row r="210" spans="1:12">
      <c r="A210" s="82" t="e">
        <f t="shared" si="34"/>
        <v>#REF!</v>
      </c>
      <c r="B210" s="80" t="s">
        <v>349</v>
      </c>
      <c r="C210" s="196"/>
      <c r="D210" s="163" t="e">
        <f>(B151*(1-'5.Closing Stock &amp; W Capital'!$D$16))*$C210*D$172</f>
        <v>#REF!</v>
      </c>
      <c r="E210" s="163" t="e">
        <f>((C151*(1-'5.Closing Stock &amp; W Capital'!$D$16))+(B151*'5.Closing Stock &amp; W Capital'!$D$16))*$C210*E$172</f>
        <v>#REF!</v>
      </c>
      <c r="F210" s="163" t="e">
        <f>((D151*(1-'5.Closing Stock &amp; W Capital'!$D$16))+(C151*'5.Closing Stock &amp; W Capital'!$D$16))*$C210*F$172</f>
        <v>#REF!</v>
      </c>
      <c r="G210" s="163" t="e">
        <f>((E151*(1-'5.Closing Stock &amp; W Capital'!$D$16))+(D151*'5.Closing Stock &amp; W Capital'!$D$16))*$C210*G$172</f>
        <v>#REF!</v>
      </c>
      <c r="H210" s="163" t="e">
        <f>((F151*(1-'5.Closing Stock &amp; W Capital'!$D$16))+(E151*'5.Closing Stock &amp; W Capital'!$D$16))*$C210*H$172</f>
        <v>#REF!</v>
      </c>
      <c r="I210" s="163" t="e">
        <f>((G151*(1-'5.Closing Stock &amp; W Capital'!$D$16))+(F151*'5.Closing Stock &amp; W Capital'!$D$16))*$C210*I$172</f>
        <v>#REF!</v>
      </c>
      <c r="J210" s="163" t="e">
        <f>((H151*(1-'5.Closing Stock &amp; W Capital'!$D$16))+(G151*'5.Closing Stock &amp; W Capital'!$D$16))*$C210*J$172</f>
        <v>#REF!</v>
      </c>
      <c r="K210" s="79"/>
      <c r="L210" s="79"/>
    </row>
    <row r="211" spans="1:12">
      <c r="A211" s="82" t="e">
        <f t="shared" si="34"/>
        <v>#REF!</v>
      </c>
      <c r="B211" s="80" t="s">
        <v>349</v>
      </c>
      <c r="C211" s="196"/>
      <c r="D211" s="163" t="e">
        <f>(B152*(1-'5.Closing Stock &amp; W Capital'!$D$16))*$C211*D$172</f>
        <v>#REF!</v>
      </c>
      <c r="E211" s="163" t="e">
        <f>((C152*(1-'5.Closing Stock &amp; W Capital'!$D$16))+(B152*'5.Closing Stock &amp; W Capital'!$D$16))*$C211*E$172</f>
        <v>#REF!</v>
      </c>
      <c r="F211" s="163" t="e">
        <f>((D152*(1-'5.Closing Stock &amp; W Capital'!$D$16))+(C152*'5.Closing Stock &amp; W Capital'!$D$16))*$C211*F$172</f>
        <v>#REF!</v>
      </c>
      <c r="G211" s="163" t="e">
        <f>((E152*(1-'5.Closing Stock &amp; W Capital'!$D$16))+(D152*'5.Closing Stock &amp; W Capital'!$D$16))*$C211*G$172</f>
        <v>#REF!</v>
      </c>
      <c r="H211" s="163" t="e">
        <f>((F152*(1-'5.Closing Stock &amp; W Capital'!$D$16))+(E152*'5.Closing Stock &amp; W Capital'!$D$16))*$C211*H$172</f>
        <v>#REF!</v>
      </c>
      <c r="I211" s="163" t="e">
        <f>((G152*(1-'5.Closing Stock &amp; W Capital'!$D$16))+(F152*'5.Closing Stock &amp; W Capital'!$D$16))*$C211*I$172</f>
        <v>#REF!</v>
      </c>
      <c r="J211" s="163" t="e">
        <f>((H152*(1-'5.Closing Stock &amp; W Capital'!$D$16))+(G152*'5.Closing Stock &amp; W Capital'!$D$16))*$C211*J$172</f>
        <v>#REF!</v>
      </c>
      <c r="K211" s="79"/>
      <c r="L211" s="79"/>
    </row>
    <row r="212" spans="1:12">
      <c r="A212" s="82" t="e">
        <f t="shared" si="34"/>
        <v>#REF!</v>
      </c>
      <c r="B212" s="80" t="s">
        <v>349</v>
      </c>
      <c r="C212" s="218">
        <v>2000</v>
      </c>
      <c r="D212" s="163" t="e">
        <f>(B153*(1-'5.Closing Stock &amp; W Capital'!$D$16))*$C212*D$172</f>
        <v>#REF!</v>
      </c>
      <c r="E212" s="163" t="e">
        <f>((C153*(1-'5.Closing Stock &amp; W Capital'!$D$16))+(B153*'5.Closing Stock &amp; W Capital'!$D$16))*$C212*E$172</f>
        <v>#REF!</v>
      </c>
      <c r="F212" s="163" t="e">
        <f>((D153*(1-'5.Closing Stock &amp; W Capital'!$D$16))+(C153*'5.Closing Stock &amp; W Capital'!$D$16))*$C212*F$172</f>
        <v>#REF!</v>
      </c>
      <c r="G212" s="163" t="e">
        <f>((E153*(1-'5.Closing Stock &amp; W Capital'!$D$16))+(D153*'5.Closing Stock &amp; W Capital'!$D$16))*$C212*G$172</f>
        <v>#REF!</v>
      </c>
      <c r="H212" s="163" t="e">
        <f>((F153*(1-'5.Closing Stock &amp; W Capital'!$D$16))+(E153*'5.Closing Stock &amp; W Capital'!$D$16))*$C212*H$172</f>
        <v>#REF!</v>
      </c>
      <c r="I212" s="163" t="e">
        <f>((G153*(1-'5.Closing Stock &amp; W Capital'!$D$16))+(F153*'5.Closing Stock &amp; W Capital'!$D$16))*$C212*I$172</f>
        <v>#REF!</v>
      </c>
      <c r="J212" s="163" t="e">
        <f>((H153*(1-'5.Closing Stock &amp; W Capital'!$D$16))+(G153*'5.Closing Stock &amp; W Capital'!$D$16))*$C212*J$172</f>
        <v>#REF!</v>
      </c>
      <c r="K212" s="79"/>
      <c r="L212" s="79"/>
    </row>
    <row r="213" spans="1:12">
      <c r="A213" s="82" t="e">
        <f t="shared" si="34"/>
        <v>#REF!</v>
      </c>
      <c r="B213" s="80" t="s">
        <v>349</v>
      </c>
      <c r="C213" s="218">
        <v>1000</v>
      </c>
      <c r="D213" s="163" t="e">
        <f>(B154*(1-'5.Closing Stock &amp; W Capital'!$D$16))*$C213*D$172</f>
        <v>#REF!</v>
      </c>
      <c r="E213" s="163" t="e">
        <f>((C154*(1-'5.Closing Stock &amp; W Capital'!$D$16))+(B154*'5.Closing Stock &amp; W Capital'!$D$16))*$C213*E$172</f>
        <v>#REF!</v>
      </c>
      <c r="F213" s="163" t="e">
        <f>((D154*(1-'5.Closing Stock &amp; W Capital'!$D$16))+(C154*'5.Closing Stock &amp; W Capital'!$D$16))*$C213*F$172</f>
        <v>#REF!</v>
      </c>
      <c r="G213" s="163" t="e">
        <f>((E154*(1-'5.Closing Stock &amp; W Capital'!$D$16))+(D154*'5.Closing Stock &amp; W Capital'!$D$16))*$C213*G$172</f>
        <v>#REF!</v>
      </c>
      <c r="H213" s="163" t="e">
        <f>((F154*(1-'5.Closing Stock &amp; W Capital'!$D$16))+(E154*'5.Closing Stock &amp; W Capital'!$D$16))*$C213*H$172</f>
        <v>#REF!</v>
      </c>
      <c r="I213" s="163" t="e">
        <f>((G154*(1-'5.Closing Stock &amp; W Capital'!$D$16))+(F154*'5.Closing Stock &amp; W Capital'!$D$16))*$C213*I$172</f>
        <v>#REF!</v>
      </c>
      <c r="J213" s="163" t="e">
        <f>((H154*(1-'5.Closing Stock &amp; W Capital'!$D$16))+(G154*'5.Closing Stock &amp; W Capital'!$D$16))*$C213*J$172</f>
        <v>#REF!</v>
      </c>
      <c r="K213" s="79"/>
      <c r="L213" s="79"/>
    </row>
    <row r="214" spans="1:12">
      <c r="A214" s="82" t="e">
        <f t="shared" si="34"/>
        <v>#REF!</v>
      </c>
      <c r="B214" s="80" t="s">
        <v>349</v>
      </c>
      <c r="C214" s="218">
        <v>1500</v>
      </c>
      <c r="D214" s="163" t="e">
        <f>(B155*(1-'5.Closing Stock &amp; W Capital'!$D$16))*$C214*D$172</f>
        <v>#REF!</v>
      </c>
      <c r="E214" s="163" t="e">
        <f>((C155*(1-'5.Closing Stock &amp; W Capital'!$D$16))+(B155*'5.Closing Stock &amp; W Capital'!$D$16))*$C214*E$172</f>
        <v>#REF!</v>
      </c>
      <c r="F214" s="163" t="e">
        <f>((D155*(1-'5.Closing Stock &amp; W Capital'!$D$16))+(C155*'5.Closing Stock &amp; W Capital'!$D$16))*$C214*F$172</f>
        <v>#REF!</v>
      </c>
      <c r="G214" s="163" t="e">
        <f>((E155*(1-'5.Closing Stock &amp; W Capital'!$D$16))+(D155*'5.Closing Stock &amp; W Capital'!$D$16))*$C214*G$172</f>
        <v>#REF!</v>
      </c>
      <c r="H214" s="163" t="e">
        <f>((F155*(1-'5.Closing Stock &amp; W Capital'!$D$16))+(E155*'5.Closing Stock &amp; W Capital'!$D$16))*$C214*H$172</f>
        <v>#REF!</v>
      </c>
      <c r="I214" s="163" t="e">
        <f>((G155*(1-'5.Closing Stock &amp; W Capital'!$D$16))+(F155*'5.Closing Stock &amp; W Capital'!$D$16))*$C214*I$172</f>
        <v>#REF!</v>
      </c>
      <c r="J214" s="163" t="e">
        <f>((H155*(1-'5.Closing Stock &amp; W Capital'!$D$16))+(G155*'5.Closing Stock &amp; W Capital'!$D$16))*$C214*J$172</f>
        <v>#REF!</v>
      </c>
      <c r="K214" s="79"/>
      <c r="L214" s="79"/>
    </row>
    <row r="215" spans="1:12">
      <c r="A215" s="82" t="e">
        <f t="shared" si="34"/>
        <v>#REF!</v>
      </c>
      <c r="B215" s="80" t="s">
        <v>349</v>
      </c>
      <c r="C215" s="218">
        <v>3000</v>
      </c>
      <c r="D215" s="163" t="e">
        <f>(B156*(1-'5.Closing Stock &amp; W Capital'!$D$16))*$C215*D$172</f>
        <v>#REF!</v>
      </c>
      <c r="E215" s="163" t="e">
        <f>((C156*(1-'5.Closing Stock &amp; W Capital'!$D$16))+(B156*'5.Closing Stock &amp; W Capital'!$D$16))*$C215*E$172</f>
        <v>#REF!</v>
      </c>
      <c r="F215" s="163" t="e">
        <f>((D156*(1-'5.Closing Stock &amp; W Capital'!$D$16))+(C156*'5.Closing Stock &amp; W Capital'!$D$16))*$C215*F$172</f>
        <v>#REF!</v>
      </c>
      <c r="G215" s="163" t="e">
        <f>((E156*(1-'5.Closing Stock &amp; W Capital'!$D$16))+(D156*'5.Closing Stock &amp; W Capital'!$D$16))*$C215*G$172</f>
        <v>#REF!</v>
      </c>
      <c r="H215" s="163" t="e">
        <f>((F156*(1-'5.Closing Stock &amp; W Capital'!$D$16))+(E156*'5.Closing Stock &amp; W Capital'!$D$16))*$C215*H$172</f>
        <v>#REF!</v>
      </c>
      <c r="I215" s="163" t="e">
        <f>((G156*(1-'5.Closing Stock &amp; W Capital'!$D$16))+(F156*'5.Closing Stock &amp; W Capital'!$D$16))*$C215*I$172</f>
        <v>#REF!</v>
      </c>
      <c r="J215" s="163" t="e">
        <f>((H156*(1-'5.Closing Stock &amp; W Capital'!$D$16))+(G156*'5.Closing Stock &amp; W Capital'!$D$16))*$C215*J$172</f>
        <v>#REF!</v>
      </c>
      <c r="K215" s="79"/>
      <c r="L215" s="79"/>
    </row>
    <row r="216" spans="1:12">
      <c r="A216" s="82" t="e">
        <f t="shared" si="34"/>
        <v>#REF!</v>
      </c>
      <c r="B216" s="80" t="s">
        <v>349</v>
      </c>
      <c r="C216" s="218">
        <v>2000</v>
      </c>
      <c r="D216" s="163" t="e">
        <f>(B157*(1-'5.Closing Stock &amp; W Capital'!$D$16))*$C216*D$172</f>
        <v>#REF!</v>
      </c>
      <c r="E216" s="163" t="e">
        <f>((C157*(1-'5.Closing Stock &amp; W Capital'!$D$16))+(B157*'5.Closing Stock &amp; W Capital'!$D$16))*$C216*E$172</f>
        <v>#REF!</v>
      </c>
      <c r="F216" s="163" t="e">
        <f>((D157*(1-'5.Closing Stock &amp; W Capital'!$D$16))+(C157*'5.Closing Stock &amp; W Capital'!$D$16))*$C216*F$172</f>
        <v>#REF!</v>
      </c>
      <c r="G216" s="163" t="e">
        <f>((E157*(1-'5.Closing Stock &amp; W Capital'!$D$16))+(D157*'5.Closing Stock &amp; W Capital'!$D$16))*$C216*G$172</f>
        <v>#REF!</v>
      </c>
      <c r="H216" s="163" t="e">
        <f>((F157*(1-'5.Closing Stock &amp; W Capital'!$D$16))+(E157*'5.Closing Stock &amp; W Capital'!$D$16))*$C216*H$172</f>
        <v>#REF!</v>
      </c>
      <c r="I216" s="163" t="e">
        <f>((G157*(1-'5.Closing Stock &amp; W Capital'!$D$16))+(F157*'5.Closing Stock &amp; W Capital'!$D$16))*$C216*I$172</f>
        <v>#REF!</v>
      </c>
      <c r="J216" s="163" t="e">
        <f>((H157*(1-'5.Closing Stock &amp; W Capital'!$D$16))+(G157*'5.Closing Stock &amp; W Capital'!$D$16))*$C216*J$172</f>
        <v>#REF!</v>
      </c>
      <c r="K216" s="79"/>
      <c r="L216" s="79"/>
    </row>
    <row r="217" spans="1:12">
      <c r="A217" s="82" t="e">
        <f t="shared" si="34"/>
        <v>#REF!</v>
      </c>
      <c r="B217" s="80" t="s">
        <v>349</v>
      </c>
      <c r="C217" s="218"/>
      <c r="D217" s="163" t="e">
        <f>(B158*(1-'5.Closing Stock &amp; W Capital'!$D$16))*$C217*D$172</f>
        <v>#REF!</v>
      </c>
      <c r="E217" s="163" t="e">
        <f>((C158*(1-'5.Closing Stock &amp; W Capital'!$D$16))+(B158*'5.Closing Stock &amp; W Capital'!$D$16))*$C217*E$172</f>
        <v>#REF!</v>
      </c>
      <c r="F217" s="163" t="e">
        <f>((D158*(1-'5.Closing Stock &amp; W Capital'!$D$16))+(C158*'5.Closing Stock &amp; W Capital'!$D$16))*$C217*F$172</f>
        <v>#REF!</v>
      </c>
      <c r="G217" s="163" t="e">
        <f>((E158*(1-'5.Closing Stock &amp; W Capital'!$D$16))+(D158*'5.Closing Stock &amp; W Capital'!$D$16))*$C217*G$172</f>
        <v>#REF!</v>
      </c>
      <c r="H217" s="163" t="e">
        <f>((F158*(1-'5.Closing Stock &amp; W Capital'!$D$16))+(E158*'5.Closing Stock &amp; W Capital'!$D$16))*$C217*H$172</f>
        <v>#REF!</v>
      </c>
      <c r="I217" s="163" t="e">
        <f>((G158*(1-'5.Closing Stock &amp; W Capital'!$D$16))+(F158*'5.Closing Stock &amp; W Capital'!$D$16))*$C217*I$172</f>
        <v>#REF!</v>
      </c>
      <c r="J217" s="163" t="e">
        <f>((H158*(1-'5.Closing Stock &amp; W Capital'!$D$16))+(G158*'5.Closing Stock &amp; W Capital'!$D$16))*$C217*J$172</f>
        <v>#REF!</v>
      </c>
      <c r="K217" s="79"/>
      <c r="L217" s="79"/>
    </row>
    <row r="218" spans="1:12">
      <c r="A218" s="82" t="e">
        <f t="shared" si="34"/>
        <v>#REF!</v>
      </c>
      <c r="B218" s="80" t="s">
        <v>349</v>
      </c>
      <c r="C218" s="218"/>
      <c r="D218" s="163" t="e">
        <f>(B159*(1-'5.Closing Stock &amp; W Capital'!$D$16))*$C218*D$172</f>
        <v>#REF!</v>
      </c>
      <c r="E218" s="163" t="e">
        <f>((C159*(1-'5.Closing Stock &amp; W Capital'!$D$16))+(B159*'5.Closing Stock &amp; W Capital'!$D$16))*$C218*E$172</f>
        <v>#REF!</v>
      </c>
      <c r="F218" s="163" t="e">
        <f>((D159*(1-'5.Closing Stock &amp; W Capital'!$D$16))+(C159*'5.Closing Stock &amp; W Capital'!$D$16))*$C218*F$172</f>
        <v>#REF!</v>
      </c>
      <c r="G218" s="163" t="e">
        <f>((E159*(1-'5.Closing Stock &amp; W Capital'!$D$16))+(D159*'5.Closing Stock &amp; W Capital'!$D$16))*$C218*G$172</f>
        <v>#REF!</v>
      </c>
      <c r="H218" s="163" t="e">
        <f>((F159*(1-'5.Closing Stock &amp; W Capital'!$D$16))+(E159*'5.Closing Stock &amp; W Capital'!$D$16))*$C218*H$172</f>
        <v>#REF!</v>
      </c>
      <c r="I218" s="163" t="e">
        <f>((G159*(1-'5.Closing Stock &amp; W Capital'!$D$16))+(F159*'5.Closing Stock &amp; W Capital'!$D$16))*$C218*I$172</f>
        <v>#REF!</v>
      </c>
      <c r="J218" s="163" t="e">
        <f>((H159*(1-'5.Closing Stock &amp; W Capital'!$D$16))+(G159*'5.Closing Stock &amp; W Capital'!$D$16))*$C218*J$172</f>
        <v>#REF!</v>
      </c>
      <c r="K218" s="79"/>
      <c r="L218" s="79"/>
    </row>
    <row r="219" spans="1:12">
      <c r="A219" s="82" t="e">
        <f t="shared" si="34"/>
        <v>#REF!</v>
      </c>
      <c r="B219" s="80" t="s">
        <v>349</v>
      </c>
      <c r="C219" s="218"/>
      <c r="D219" s="163" t="e">
        <f>(B160*(1-'5.Closing Stock &amp; W Capital'!$D$16))*$C219*D$172</f>
        <v>#REF!</v>
      </c>
      <c r="E219" s="163" t="e">
        <f>((C160*(1-'5.Closing Stock &amp; W Capital'!$D$16))+(B160*'5.Closing Stock &amp; W Capital'!$D$16))*$C219*E$172</f>
        <v>#REF!</v>
      </c>
      <c r="F219" s="163" t="e">
        <f>((D160*(1-'5.Closing Stock &amp; W Capital'!$D$16))+(C160*'5.Closing Stock &amp; W Capital'!$D$16))*$C219*F$172</f>
        <v>#REF!</v>
      </c>
      <c r="G219" s="163" t="e">
        <f>((E160*(1-'5.Closing Stock &amp; W Capital'!$D$16))+(D160*'5.Closing Stock &amp; W Capital'!$D$16))*$C219*G$172</f>
        <v>#REF!</v>
      </c>
      <c r="H219" s="163" t="e">
        <f>((F160*(1-'5.Closing Stock &amp; W Capital'!$D$16))+(E160*'5.Closing Stock &amp; W Capital'!$D$16))*$C219*H$172</f>
        <v>#REF!</v>
      </c>
      <c r="I219" s="163" t="e">
        <f>((G160*(1-'5.Closing Stock &amp; W Capital'!$D$16))+(F160*'5.Closing Stock &amp; W Capital'!$D$16))*$C219*I$172</f>
        <v>#REF!</v>
      </c>
      <c r="J219" s="163" t="e">
        <f>((H160*(1-'5.Closing Stock &amp; W Capital'!$D$16))+(G160*'5.Closing Stock &amp; W Capital'!$D$16))*$C219*J$172</f>
        <v>#REF!</v>
      </c>
      <c r="K219" s="79"/>
      <c r="L219" s="79"/>
    </row>
    <row r="220" spans="1:12">
      <c r="A220" s="82" t="e">
        <f t="shared" si="34"/>
        <v>#REF!</v>
      </c>
      <c r="B220" s="80" t="s">
        <v>349</v>
      </c>
      <c r="C220" s="218"/>
      <c r="D220" s="163" t="e">
        <f>(B161*(1-'5.Closing Stock &amp; W Capital'!$D$16))*$C220*D$172</f>
        <v>#REF!</v>
      </c>
      <c r="E220" s="163" t="e">
        <f>((C161*(1-'5.Closing Stock &amp; W Capital'!$D$16))+(B161*'5.Closing Stock &amp; W Capital'!$D$16))*$C220*E$172</f>
        <v>#REF!</v>
      </c>
      <c r="F220" s="163" t="e">
        <f>((D161*(1-'5.Closing Stock &amp; W Capital'!$D$16))+(C161*'5.Closing Stock &amp; W Capital'!$D$16))*$C220*F$172</f>
        <v>#REF!</v>
      </c>
      <c r="G220" s="163" t="e">
        <f>((E161*(1-'5.Closing Stock &amp; W Capital'!$D$16))+(D161*'5.Closing Stock &amp; W Capital'!$D$16))*$C220*G$172</f>
        <v>#REF!</v>
      </c>
      <c r="H220" s="163" t="e">
        <f>((F161*(1-'5.Closing Stock &amp; W Capital'!$D$16))+(E161*'5.Closing Stock &amp; W Capital'!$D$16))*$C220*H$172</f>
        <v>#REF!</v>
      </c>
      <c r="I220" s="163" t="e">
        <f>((G161*(1-'5.Closing Stock &amp; W Capital'!$D$16))+(F161*'5.Closing Stock &amp; W Capital'!$D$16))*$C220*I$172</f>
        <v>#REF!</v>
      </c>
      <c r="J220" s="163" t="e">
        <f>((H161*(1-'5.Closing Stock &amp; W Capital'!$D$16))+(G161*'5.Closing Stock &amp; W Capital'!$D$16))*$C220*J$172</f>
        <v>#REF!</v>
      </c>
      <c r="K220" s="79"/>
      <c r="L220" s="79"/>
    </row>
    <row r="221" spans="1:12">
      <c r="A221" s="82" t="e">
        <f t="shared" ref="A221:A223" si="35">A162</f>
        <v>#REF!</v>
      </c>
      <c r="B221" s="80" t="s">
        <v>349</v>
      </c>
      <c r="C221" s="218"/>
      <c r="D221" s="163">
        <f>(B162*(1-'5.Closing Stock &amp; W Capital'!$D$16))*$C221*D$172</f>
        <v>0</v>
      </c>
      <c r="E221" s="163">
        <f>((C162*(1-'5.Closing Stock &amp; W Capital'!$D$16))+(B162*'5.Closing Stock &amp; W Capital'!$D$16))*$C221*E$172</f>
        <v>0</v>
      </c>
      <c r="F221" s="163">
        <f>((D162*(1-'5.Closing Stock &amp; W Capital'!$D$16))+(C162*'5.Closing Stock &amp; W Capital'!$D$16))*$C221*F$172</f>
        <v>0</v>
      </c>
      <c r="G221" s="163">
        <f>((E162*(1-'5.Closing Stock &amp; W Capital'!$D$16))+(D162*'5.Closing Stock &amp; W Capital'!$D$16))*$C221*G$172</f>
        <v>0</v>
      </c>
      <c r="H221" s="163">
        <f>((F162*(1-'5.Closing Stock &amp; W Capital'!$D$16))+(E162*'5.Closing Stock &amp; W Capital'!$D$16))*$C221*H$172</f>
        <v>0</v>
      </c>
      <c r="I221" s="163">
        <f>((G162*(1-'5.Closing Stock &amp; W Capital'!$D$16))+(F162*'5.Closing Stock &amp; W Capital'!$D$16))*$C221*I$172</f>
        <v>0</v>
      </c>
      <c r="J221" s="163">
        <f>((H162*(1-'5.Closing Stock &amp; W Capital'!$D$16))+(G162*'5.Closing Stock &amp; W Capital'!$D$16))*$C221*J$172</f>
        <v>0</v>
      </c>
      <c r="K221" s="79"/>
      <c r="L221" s="79"/>
    </row>
    <row r="222" spans="1:12">
      <c r="A222" s="82" t="e">
        <f t="shared" si="35"/>
        <v>#REF!</v>
      </c>
      <c r="B222" s="80" t="s">
        <v>349</v>
      </c>
      <c r="C222" s="218"/>
      <c r="D222" s="163">
        <f>(B163*(1-'5.Closing Stock &amp; W Capital'!$D$16))*$C222*D$172</f>
        <v>0</v>
      </c>
      <c r="E222" s="163">
        <f>((C163*(1-'5.Closing Stock &amp; W Capital'!$D$16))+(B163*'5.Closing Stock &amp; W Capital'!$D$16))*$C222*E$172</f>
        <v>0</v>
      </c>
      <c r="F222" s="163">
        <f>((D163*(1-'5.Closing Stock &amp; W Capital'!$D$16))+(C163*'5.Closing Stock &amp; W Capital'!$D$16))*$C222*F$172</f>
        <v>0</v>
      </c>
      <c r="G222" s="163">
        <f>((E163*(1-'5.Closing Stock &amp; W Capital'!$D$16))+(D163*'5.Closing Stock &amp; W Capital'!$D$16))*$C222*G$172</f>
        <v>0</v>
      </c>
      <c r="H222" s="163">
        <f>((F163*(1-'5.Closing Stock &amp; W Capital'!$D$16))+(E163*'5.Closing Stock &amp; W Capital'!$D$16))*$C222*H$172</f>
        <v>0</v>
      </c>
      <c r="I222" s="163">
        <f>((G163*(1-'5.Closing Stock &amp; W Capital'!$D$16))+(F163*'5.Closing Stock &amp; W Capital'!$D$16))*$C222*I$172</f>
        <v>0</v>
      </c>
      <c r="J222" s="163">
        <f>((H163*(1-'5.Closing Stock &amp; W Capital'!$D$16))+(G163*'5.Closing Stock &amp; W Capital'!$D$16))*$C222*J$172</f>
        <v>0</v>
      </c>
      <c r="K222" s="79"/>
      <c r="L222" s="79"/>
    </row>
    <row r="223" spans="1:12">
      <c r="A223" s="82" t="e">
        <f t="shared" si="35"/>
        <v>#REF!</v>
      </c>
      <c r="B223" s="80" t="s">
        <v>349</v>
      </c>
      <c r="C223" s="218"/>
      <c r="D223" s="163">
        <f>(B164*(1-'5.Closing Stock &amp; W Capital'!$D$16))*$C223*D$172</f>
        <v>0</v>
      </c>
      <c r="E223" s="163">
        <f>((C164*(1-'5.Closing Stock &amp; W Capital'!$D$16))+(B164*'5.Closing Stock &amp; W Capital'!$D$16))*$C223*E$172</f>
        <v>0</v>
      </c>
      <c r="F223" s="163">
        <f>((D164*(1-'5.Closing Stock &amp; W Capital'!$D$16))+(C164*'5.Closing Stock &amp; W Capital'!$D$16))*$C223*F$172</f>
        <v>0</v>
      </c>
      <c r="G223" s="163">
        <f>((E164*(1-'5.Closing Stock &amp; W Capital'!$D$16))+(D164*'5.Closing Stock &amp; W Capital'!$D$16))*$C223*G$172</f>
        <v>0</v>
      </c>
      <c r="H223" s="163">
        <f>((F164*(1-'5.Closing Stock &amp; W Capital'!$D$16))+(E164*'5.Closing Stock &amp; W Capital'!$D$16))*$C223*H$172</f>
        <v>0</v>
      </c>
      <c r="I223" s="163">
        <f>((G164*(1-'5.Closing Stock &amp; W Capital'!$D$16))+(F164*'5.Closing Stock &amp; W Capital'!$D$16))*$C223*I$172</f>
        <v>0</v>
      </c>
      <c r="J223" s="163">
        <f>((H164*(1-'5.Closing Stock &amp; W Capital'!$D$16))+(G164*'5.Closing Stock &amp; W Capital'!$D$16))*$C223*J$172</f>
        <v>0</v>
      </c>
      <c r="K223" s="79"/>
      <c r="L223" s="79"/>
    </row>
    <row r="224" spans="1:12">
      <c r="A224" s="82" t="e">
        <f t="shared" ref="A224:A227" si="36">A165</f>
        <v>#REF!</v>
      </c>
      <c r="B224" s="80" t="s">
        <v>349</v>
      </c>
      <c r="C224" s="218">
        <v>5000</v>
      </c>
      <c r="D224" s="163" t="e">
        <f>(B165*(1-'5.Closing Stock &amp; W Capital'!$D$16))*$C224*D$172</f>
        <v>#REF!</v>
      </c>
      <c r="E224" s="163" t="e">
        <f>((C165*(1-'5.Closing Stock &amp; W Capital'!$D$16))+(B165*'5.Closing Stock &amp; W Capital'!$D$16))*$C224*E$172</f>
        <v>#REF!</v>
      </c>
      <c r="F224" s="163" t="e">
        <f>((D165*(1-'5.Closing Stock &amp; W Capital'!$D$16))+(C165*'5.Closing Stock &amp; W Capital'!$D$16))*$C224*F$172</f>
        <v>#REF!</v>
      </c>
      <c r="G224" s="163" t="e">
        <f>((E165*(1-'5.Closing Stock &amp; W Capital'!$D$16))+(D165*'5.Closing Stock &amp; W Capital'!$D$16))*$C224*G$172</f>
        <v>#REF!</v>
      </c>
      <c r="H224" s="163" t="e">
        <f>((F165*(1-'5.Closing Stock &amp; W Capital'!$D$16))+(E165*'5.Closing Stock &amp; W Capital'!$D$16))*$C224*H$172</f>
        <v>#REF!</v>
      </c>
      <c r="I224" s="163" t="e">
        <f>((G165*(1-'5.Closing Stock &amp; W Capital'!$D$16))+(F165*'5.Closing Stock &amp; W Capital'!$D$16))*$C224*I$172</f>
        <v>#REF!</v>
      </c>
      <c r="J224" s="163" t="e">
        <f>((H165*(1-'5.Closing Stock &amp; W Capital'!$D$16))+(G165*'5.Closing Stock &amp; W Capital'!$D$16))*$C224*J$172</f>
        <v>#REF!</v>
      </c>
      <c r="K224" s="79"/>
      <c r="L224" s="79"/>
    </row>
    <row r="225" spans="1:12">
      <c r="A225" s="82" t="e">
        <f t="shared" si="36"/>
        <v>#REF!</v>
      </c>
      <c r="B225" s="80" t="s">
        <v>349</v>
      </c>
      <c r="C225" s="218"/>
      <c r="D225" s="163" t="e">
        <f>(B166*(1-'5.Closing Stock &amp; W Capital'!$D$16))*$C225*D$172</f>
        <v>#REF!</v>
      </c>
      <c r="E225" s="163" t="e">
        <f>((C166*(1-'5.Closing Stock &amp; W Capital'!$D$16))+(B166*'5.Closing Stock &amp; W Capital'!$D$16))*$C225*E$172</f>
        <v>#REF!</v>
      </c>
      <c r="F225" s="163" t="e">
        <f>((D166*(1-'5.Closing Stock &amp; W Capital'!$D$16))+(C166*'5.Closing Stock &amp; W Capital'!$D$16))*$C225*F$172</f>
        <v>#REF!</v>
      </c>
      <c r="G225" s="163" t="e">
        <f>((E166*(1-'5.Closing Stock &amp; W Capital'!$D$16))+(D166*'5.Closing Stock &amp; W Capital'!$D$16))*$C225*G$172</f>
        <v>#REF!</v>
      </c>
      <c r="H225" s="163" t="e">
        <f>((F166*(1-'5.Closing Stock &amp; W Capital'!$D$16))+(E166*'5.Closing Stock &amp; W Capital'!$D$16))*$C225*H$172</f>
        <v>#REF!</v>
      </c>
      <c r="I225" s="163" t="e">
        <f>((G166*(1-'5.Closing Stock &amp; W Capital'!$D$16))+(F166*'5.Closing Stock &amp; W Capital'!$D$16))*$C225*I$172</f>
        <v>#REF!</v>
      </c>
      <c r="J225" s="163" t="e">
        <f>((H166*(1-'5.Closing Stock &amp; W Capital'!$D$16))+(G166*'5.Closing Stock &amp; W Capital'!$D$16))*$C225*J$172</f>
        <v>#REF!</v>
      </c>
      <c r="K225" s="79"/>
      <c r="L225" s="79"/>
    </row>
    <row r="226" spans="1:12">
      <c r="A226" s="82" t="e">
        <f t="shared" si="36"/>
        <v>#REF!</v>
      </c>
      <c r="B226" s="80" t="s">
        <v>349</v>
      </c>
      <c r="C226" s="218"/>
      <c r="D226" s="163" t="e">
        <f>(B167*(1-'5.Closing Stock &amp; W Capital'!$D$16))*$C226*D$172</f>
        <v>#REF!</v>
      </c>
      <c r="E226" s="163" t="e">
        <f>((C167*(1-'5.Closing Stock &amp; W Capital'!$D$16))+(B167*'5.Closing Stock &amp; W Capital'!$D$16))*$C226*E$172</f>
        <v>#REF!</v>
      </c>
      <c r="F226" s="163" t="e">
        <f>((D167*(1-'5.Closing Stock &amp; W Capital'!$D$16))+(C167*'5.Closing Stock &amp; W Capital'!$D$16))*$C226*F$172</f>
        <v>#REF!</v>
      </c>
      <c r="G226" s="163" t="e">
        <f>((E167*(1-'5.Closing Stock &amp; W Capital'!$D$16))+(D167*'5.Closing Stock &amp; W Capital'!$D$16))*$C226*G$172</f>
        <v>#REF!</v>
      </c>
      <c r="H226" s="163" t="e">
        <f>((F167*(1-'5.Closing Stock &amp; W Capital'!$D$16))+(E167*'5.Closing Stock &amp; W Capital'!$D$16))*$C226*H$172</f>
        <v>#REF!</v>
      </c>
      <c r="I226" s="163" t="e">
        <f>((G167*(1-'5.Closing Stock &amp; W Capital'!$D$16))+(F167*'5.Closing Stock &amp; W Capital'!$D$16))*$C226*I$172</f>
        <v>#REF!</v>
      </c>
      <c r="J226" s="163" t="e">
        <f>((H167*(1-'5.Closing Stock &amp; W Capital'!$D$16))+(G167*'5.Closing Stock &amp; W Capital'!$D$16))*$C226*J$172</f>
        <v>#REF!</v>
      </c>
      <c r="K226" s="79"/>
      <c r="L226" s="79"/>
    </row>
    <row r="227" spans="1:12">
      <c r="A227" s="82" t="e">
        <f t="shared" si="36"/>
        <v>#REF!</v>
      </c>
      <c r="B227" s="80" t="s">
        <v>349</v>
      </c>
      <c r="C227" s="218"/>
      <c r="D227" s="163" t="e">
        <f>(B168*(1-'5.Closing Stock &amp; W Capital'!$D$16))*$C227*D$172</f>
        <v>#REF!</v>
      </c>
      <c r="E227" s="163" t="e">
        <f>((C168*(1-'5.Closing Stock &amp; W Capital'!$D$16))+(B168*'5.Closing Stock &amp; W Capital'!$D$16))*$C227*E$172</f>
        <v>#REF!</v>
      </c>
      <c r="F227" s="163" t="e">
        <f>((D168*(1-'5.Closing Stock &amp; W Capital'!$D$16))+(C168*'5.Closing Stock &amp; W Capital'!$D$16))*$C227*F$172</f>
        <v>#REF!</v>
      </c>
      <c r="G227" s="163" t="e">
        <f>((E168*(1-'5.Closing Stock &amp; W Capital'!$D$16))+(D168*'5.Closing Stock &amp; W Capital'!$D$16))*$C227*G$172</f>
        <v>#REF!</v>
      </c>
      <c r="H227" s="163" t="e">
        <f>((F168*(1-'5.Closing Stock &amp; W Capital'!$D$16))+(E168*'5.Closing Stock &amp; W Capital'!$D$16))*$C227*H$172</f>
        <v>#REF!</v>
      </c>
      <c r="I227" s="163" t="e">
        <f>((G168*(1-'5.Closing Stock &amp; W Capital'!$D$16))+(F168*'5.Closing Stock &amp; W Capital'!$D$16))*$C227*I$172</f>
        <v>#REF!</v>
      </c>
      <c r="J227" s="163" t="e">
        <f>((H168*(1-'5.Closing Stock &amp; W Capital'!$D$16))+(G168*'5.Closing Stock &amp; W Capital'!$D$16))*$C227*J$172</f>
        <v>#REF!</v>
      </c>
      <c r="K227" s="79"/>
      <c r="L227" s="79"/>
    </row>
    <row r="228" spans="1:12">
      <c r="A228" s="82"/>
      <c r="B228" s="82"/>
      <c r="C228" s="82"/>
      <c r="D228" s="80"/>
      <c r="E228" s="80"/>
      <c r="F228" s="80"/>
      <c r="G228" s="80"/>
      <c r="H228" s="80"/>
      <c r="I228" s="80"/>
      <c r="J228" s="80"/>
      <c r="K228" s="79"/>
      <c r="L228" s="79"/>
    </row>
    <row r="229" spans="1:12">
      <c r="A229" s="82" t="s">
        <v>138</v>
      </c>
      <c r="B229" s="82"/>
      <c r="C229" s="82"/>
      <c r="D229" s="165" t="e">
        <f t="shared" ref="D229:J229" si="37">SUM(D178:D228)</f>
        <v>#VALUE!</v>
      </c>
      <c r="E229" s="165" t="e">
        <f t="shared" si="37"/>
        <v>#VALUE!</v>
      </c>
      <c r="F229" s="165" t="e">
        <f t="shared" si="37"/>
        <v>#VALUE!</v>
      </c>
      <c r="G229" s="165" t="e">
        <f t="shared" si="37"/>
        <v>#VALUE!</v>
      </c>
      <c r="H229" s="165" t="e">
        <f t="shared" si="37"/>
        <v>#VALUE!</v>
      </c>
      <c r="I229" s="165" t="e">
        <f t="shared" si="37"/>
        <v>#VALUE!</v>
      </c>
      <c r="J229" s="165" t="e">
        <f t="shared" si="37"/>
        <v>#VALUE!</v>
      </c>
      <c r="K229" s="79"/>
      <c r="L229" s="79"/>
    </row>
    <row r="230" spans="1:12">
      <c r="A230" s="80"/>
      <c r="B230" s="80"/>
      <c r="C230" s="80"/>
      <c r="D230" s="80"/>
      <c r="E230" s="80"/>
      <c r="F230" s="80"/>
      <c r="G230" s="80"/>
      <c r="H230" s="80"/>
      <c r="I230" s="80"/>
      <c r="J230" s="80"/>
      <c r="K230" s="79"/>
      <c r="L230" s="79"/>
    </row>
    <row r="231" spans="1:12">
      <c r="A231" s="82" t="s">
        <v>137</v>
      </c>
      <c r="B231" s="82"/>
      <c r="C231" s="82"/>
      <c r="D231" s="80"/>
      <c r="E231" s="80"/>
      <c r="F231" s="80"/>
      <c r="G231" s="80"/>
      <c r="H231" s="80"/>
      <c r="I231" s="80"/>
      <c r="J231" s="80"/>
      <c r="K231" s="79"/>
      <c r="L231" s="79"/>
    </row>
    <row r="232" spans="1:12">
      <c r="A232" s="82" t="s">
        <v>301</v>
      </c>
      <c r="B232" s="82"/>
      <c r="C232" s="80"/>
      <c r="D232" s="80"/>
      <c r="E232" s="80"/>
      <c r="F232" s="80"/>
      <c r="G232" s="80"/>
      <c r="H232" s="80"/>
      <c r="I232" s="80"/>
      <c r="J232" s="80"/>
      <c r="K232" s="79"/>
      <c r="L232" s="79"/>
    </row>
    <row r="233" spans="1:12">
      <c r="A233" s="80" t="str">
        <f t="shared" ref="A233:A254" si="38">A178</f>
        <v>Particulars</v>
      </c>
      <c r="B233" s="80" t="s">
        <v>349</v>
      </c>
      <c r="C233" s="214">
        <v>3800</v>
      </c>
      <c r="D233" s="81">
        <f>B68*$C$233*D$172</f>
        <v>1900</v>
      </c>
      <c r="E233" s="81">
        <f>C68*$C$233*E$172</f>
        <v>1995</v>
      </c>
      <c r="F233" s="81">
        <f>D68*$C$233*F172</f>
        <v>2094.75</v>
      </c>
      <c r="G233" s="81">
        <f>E68*$C$233*G172</f>
        <v>2199.4875000000002</v>
      </c>
      <c r="H233" s="81">
        <f>F68*$C$233*H172</f>
        <v>2309.4618750000004</v>
      </c>
      <c r="I233" s="81">
        <f>G68*$C$233*I172</f>
        <v>2424.9349687500007</v>
      </c>
      <c r="J233" s="81">
        <f>H68*$C$233*J172</f>
        <v>2546.1817171875009</v>
      </c>
      <c r="K233" s="79"/>
      <c r="L233" s="79"/>
    </row>
    <row r="234" spans="1:12">
      <c r="A234" s="80">
        <f t="shared" si="38"/>
        <v>0</v>
      </c>
      <c r="B234" s="80" t="s">
        <v>349</v>
      </c>
      <c r="C234" s="214">
        <v>5800</v>
      </c>
      <c r="D234" s="81" t="e">
        <f>B69*$C$234*D$172</f>
        <v>#VALUE!</v>
      </c>
      <c r="E234" s="81" t="e">
        <f t="shared" ref="E234:J234" si="39">C69*$C$234*E172</f>
        <v>#VALUE!</v>
      </c>
      <c r="F234" s="81" t="e">
        <f t="shared" si="39"/>
        <v>#VALUE!</v>
      </c>
      <c r="G234" s="81" t="e">
        <f t="shared" si="39"/>
        <v>#VALUE!</v>
      </c>
      <c r="H234" s="81" t="e">
        <f t="shared" si="39"/>
        <v>#VALUE!</v>
      </c>
      <c r="I234" s="81" t="e">
        <f t="shared" si="39"/>
        <v>#VALUE!</v>
      </c>
      <c r="J234" s="81" t="e">
        <f t="shared" si="39"/>
        <v>#VALUE!</v>
      </c>
      <c r="K234" s="79"/>
      <c r="L234" s="79"/>
    </row>
    <row r="235" spans="1:12">
      <c r="A235" s="80">
        <f t="shared" si="38"/>
        <v>0</v>
      </c>
      <c r="B235" s="80" t="s">
        <v>349</v>
      </c>
      <c r="C235" s="214"/>
      <c r="D235" s="81">
        <f>B70*$C$235*D$172</f>
        <v>0</v>
      </c>
      <c r="E235" s="81">
        <f t="shared" ref="E235:J235" si="40">C70*$C$235*E172</f>
        <v>0</v>
      </c>
      <c r="F235" s="81">
        <f t="shared" si="40"/>
        <v>0</v>
      </c>
      <c r="G235" s="81">
        <f t="shared" si="40"/>
        <v>0</v>
      </c>
      <c r="H235" s="81">
        <f t="shared" si="40"/>
        <v>0</v>
      </c>
      <c r="I235" s="81">
        <f t="shared" si="40"/>
        <v>0</v>
      </c>
      <c r="J235" s="81">
        <f t="shared" si="40"/>
        <v>0</v>
      </c>
      <c r="K235" s="79"/>
      <c r="L235" s="79"/>
    </row>
    <row r="236" spans="1:12">
      <c r="A236" s="80" t="str">
        <f t="shared" si="38"/>
        <v>Chilli</v>
      </c>
      <c r="B236" s="80" t="s">
        <v>349</v>
      </c>
      <c r="C236" s="214">
        <v>5800</v>
      </c>
      <c r="D236" s="81">
        <f t="shared" ref="D236:J236" si="41">B71*$C$236*D$172</f>
        <v>0</v>
      </c>
      <c r="E236" s="81">
        <f t="shared" si="41"/>
        <v>0</v>
      </c>
      <c r="F236" s="81">
        <f t="shared" si="41"/>
        <v>0</v>
      </c>
      <c r="G236" s="81">
        <f t="shared" si="41"/>
        <v>0</v>
      </c>
      <c r="H236" s="81">
        <f t="shared" si="41"/>
        <v>0</v>
      </c>
      <c r="I236" s="81">
        <f t="shared" si="41"/>
        <v>0</v>
      </c>
      <c r="J236" s="81">
        <f t="shared" si="41"/>
        <v>0</v>
      </c>
      <c r="K236" s="79"/>
      <c r="L236" s="79"/>
    </row>
    <row r="237" spans="1:12">
      <c r="A237" s="80">
        <f t="shared" si="38"/>
        <v>0</v>
      </c>
      <c r="B237" s="80" t="s">
        <v>349</v>
      </c>
      <c r="C237" s="214"/>
      <c r="D237" s="81">
        <f t="shared" ref="D237:J237" si="42">B72*$C$237*D$172</f>
        <v>0</v>
      </c>
      <c r="E237" s="81">
        <f t="shared" si="42"/>
        <v>0</v>
      </c>
      <c r="F237" s="81">
        <f t="shared" si="42"/>
        <v>0</v>
      </c>
      <c r="G237" s="81">
        <f t="shared" si="42"/>
        <v>0</v>
      </c>
      <c r="H237" s="81">
        <f t="shared" si="42"/>
        <v>0</v>
      </c>
      <c r="I237" s="81">
        <f t="shared" si="42"/>
        <v>0</v>
      </c>
      <c r="J237" s="81">
        <f t="shared" si="42"/>
        <v>0</v>
      </c>
      <c r="K237" s="79"/>
      <c r="L237" s="79"/>
    </row>
    <row r="238" spans="1:12">
      <c r="A238" s="80">
        <f t="shared" si="38"/>
        <v>0</v>
      </c>
      <c r="B238" s="80" t="s">
        <v>349</v>
      </c>
      <c r="C238" s="214">
        <v>6300</v>
      </c>
      <c r="D238" s="81">
        <f t="shared" ref="D238:J238" si="43">B73*$C$238*D$172</f>
        <v>0</v>
      </c>
      <c r="E238" s="81">
        <f t="shared" si="43"/>
        <v>0</v>
      </c>
      <c r="F238" s="81">
        <f t="shared" si="43"/>
        <v>0</v>
      </c>
      <c r="G238" s="81">
        <f t="shared" si="43"/>
        <v>0</v>
      </c>
      <c r="H238" s="81">
        <f t="shared" si="43"/>
        <v>0</v>
      </c>
      <c r="I238" s="81">
        <f t="shared" si="43"/>
        <v>0</v>
      </c>
      <c r="J238" s="81">
        <f t="shared" si="43"/>
        <v>0</v>
      </c>
      <c r="K238" s="79"/>
      <c r="L238" s="79"/>
    </row>
    <row r="239" spans="1:12">
      <c r="A239" s="80" t="str">
        <f t="shared" si="38"/>
        <v>Assumptions:</v>
      </c>
      <c r="B239" s="80" t="s">
        <v>349</v>
      </c>
      <c r="C239" s="214">
        <v>1800</v>
      </c>
      <c r="D239" s="81">
        <f t="shared" ref="D239:J239" si="44">B74*$C$239*D$172</f>
        <v>0</v>
      </c>
      <c r="E239" s="81">
        <f t="shared" si="44"/>
        <v>0</v>
      </c>
      <c r="F239" s="81">
        <f t="shared" si="44"/>
        <v>0</v>
      </c>
      <c r="G239" s="81">
        <f t="shared" si="44"/>
        <v>0</v>
      </c>
      <c r="H239" s="81">
        <f t="shared" si="44"/>
        <v>0</v>
      </c>
      <c r="I239" s="81">
        <f t="shared" si="44"/>
        <v>0</v>
      </c>
      <c r="J239" s="81">
        <f t="shared" si="44"/>
        <v>0</v>
      </c>
      <c r="K239" s="79"/>
      <c r="L239" s="79"/>
    </row>
    <row r="240" spans="1:12">
      <c r="A240" s="80">
        <f t="shared" si="38"/>
        <v>1</v>
      </c>
      <c r="B240" s="80" t="s">
        <v>349</v>
      </c>
      <c r="C240" s="214"/>
      <c r="D240" s="81" t="e">
        <f t="shared" ref="D240:J240" si="45">B75*$C$240*D$172</f>
        <v>#VALUE!</v>
      </c>
      <c r="E240" s="81">
        <f t="shared" si="45"/>
        <v>0</v>
      </c>
      <c r="F240" s="81">
        <f t="shared" si="45"/>
        <v>0</v>
      </c>
      <c r="G240" s="81">
        <f t="shared" si="45"/>
        <v>0</v>
      </c>
      <c r="H240" s="81">
        <f t="shared" si="45"/>
        <v>0</v>
      </c>
      <c r="I240" s="81">
        <f t="shared" si="45"/>
        <v>0</v>
      </c>
      <c r="J240" s="81">
        <f t="shared" si="45"/>
        <v>0</v>
      </c>
      <c r="K240" s="79"/>
      <c r="L240" s="79"/>
    </row>
    <row r="241" spans="1:12">
      <c r="A241" s="80">
        <f t="shared" si="38"/>
        <v>2</v>
      </c>
      <c r="B241" s="80" t="s">
        <v>349</v>
      </c>
      <c r="C241" s="214"/>
      <c r="D241" s="81" t="e">
        <f t="shared" ref="D241:J241" si="46">B76*$C$241*D$172</f>
        <v>#VALUE!</v>
      </c>
      <c r="E241" s="81">
        <f t="shared" si="46"/>
        <v>0</v>
      </c>
      <c r="F241" s="81">
        <f t="shared" si="46"/>
        <v>0</v>
      </c>
      <c r="G241" s="81">
        <f t="shared" si="46"/>
        <v>0</v>
      </c>
      <c r="H241" s="81">
        <f t="shared" si="46"/>
        <v>0</v>
      </c>
      <c r="I241" s="81">
        <f t="shared" si="46"/>
        <v>0</v>
      </c>
      <c r="J241" s="81">
        <f t="shared" si="46"/>
        <v>0</v>
      </c>
      <c r="K241" s="79"/>
      <c r="L241" s="79"/>
    </row>
    <row r="242" spans="1:12">
      <c r="A242" s="80">
        <f t="shared" si="38"/>
        <v>3</v>
      </c>
      <c r="B242" s="80" t="s">
        <v>349</v>
      </c>
      <c r="C242" s="214"/>
      <c r="D242" s="81" t="e">
        <f t="shared" ref="D242:J242" si="47">B77*$C$242*D$172</f>
        <v>#VALUE!</v>
      </c>
      <c r="E242" s="81">
        <f t="shared" si="47"/>
        <v>0</v>
      </c>
      <c r="F242" s="81">
        <f t="shared" si="47"/>
        <v>0</v>
      </c>
      <c r="G242" s="81">
        <f t="shared" si="47"/>
        <v>0</v>
      </c>
      <c r="H242" s="81">
        <f t="shared" si="47"/>
        <v>0</v>
      </c>
      <c r="I242" s="81">
        <f t="shared" si="47"/>
        <v>0</v>
      </c>
      <c r="J242" s="81">
        <f t="shared" si="47"/>
        <v>0</v>
      </c>
      <c r="K242" s="79"/>
      <c r="L242" s="79"/>
    </row>
    <row r="243" spans="1:12">
      <c r="A243" s="80">
        <f t="shared" si="38"/>
        <v>0</v>
      </c>
      <c r="B243" s="80" t="s">
        <v>349</v>
      </c>
      <c r="C243" s="214">
        <v>4800</v>
      </c>
      <c r="D243" s="81">
        <f t="shared" ref="D243:J243" si="48">B78*$C$243*D$172</f>
        <v>0</v>
      </c>
      <c r="E243" s="81">
        <f t="shared" si="48"/>
        <v>0</v>
      </c>
      <c r="F243" s="81">
        <f t="shared" si="48"/>
        <v>0</v>
      </c>
      <c r="G243" s="81">
        <f t="shared" si="48"/>
        <v>0</v>
      </c>
      <c r="H243" s="81">
        <f t="shared" si="48"/>
        <v>0</v>
      </c>
      <c r="I243" s="81">
        <f t="shared" si="48"/>
        <v>0</v>
      </c>
      <c r="J243" s="81">
        <f t="shared" si="48"/>
        <v>0</v>
      </c>
      <c r="K243" s="79"/>
      <c r="L243" s="79"/>
    </row>
    <row r="244" spans="1:12">
      <c r="A244" s="80">
        <f t="shared" si="38"/>
        <v>0</v>
      </c>
      <c r="B244" s="80" t="s">
        <v>349</v>
      </c>
      <c r="C244" s="214"/>
      <c r="D244" s="81">
        <f t="shared" ref="D244:J244" si="49">B79*$C$244*D$172</f>
        <v>0</v>
      </c>
      <c r="E244" s="81">
        <f t="shared" si="49"/>
        <v>0</v>
      </c>
      <c r="F244" s="81">
        <f t="shared" si="49"/>
        <v>0</v>
      </c>
      <c r="G244" s="81">
        <f t="shared" si="49"/>
        <v>0</v>
      </c>
      <c r="H244" s="81">
        <f t="shared" si="49"/>
        <v>0</v>
      </c>
      <c r="I244" s="81">
        <f t="shared" si="49"/>
        <v>0</v>
      </c>
      <c r="J244" s="81">
        <f t="shared" si="49"/>
        <v>0</v>
      </c>
      <c r="K244" s="79"/>
      <c r="L244" s="79"/>
    </row>
    <row r="245" spans="1:12">
      <c r="A245" s="80">
        <f t="shared" si="38"/>
        <v>0</v>
      </c>
      <c r="B245" s="80" t="s">
        <v>349</v>
      </c>
      <c r="C245" s="214"/>
      <c r="D245" s="81">
        <f t="shared" ref="D245:J245" si="50">B80*$C$245*D$172</f>
        <v>0</v>
      </c>
      <c r="E245" s="81">
        <f t="shared" si="50"/>
        <v>0</v>
      </c>
      <c r="F245" s="81">
        <f t="shared" si="50"/>
        <v>0</v>
      </c>
      <c r="G245" s="81">
        <f t="shared" si="50"/>
        <v>0</v>
      </c>
      <c r="H245" s="81">
        <f t="shared" si="50"/>
        <v>0</v>
      </c>
      <c r="I245" s="81">
        <f t="shared" si="50"/>
        <v>0</v>
      </c>
      <c r="J245" s="81">
        <f t="shared" si="50"/>
        <v>0</v>
      </c>
      <c r="K245" s="79"/>
      <c r="L245" s="79"/>
    </row>
    <row r="246" spans="1:12">
      <c r="A246" s="80">
        <f t="shared" si="38"/>
        <v>0</v>
      </c>
      <c r="B246" s="80" t="s">
        <v>349</v>
      </c>
      <c r="C246" s="214"/>
      <c r="D246" s="81">
        <f t="shared" ref="D246:J246" si="51">B81*$C$246*D$172</f>
        <v>0</v>
      </c>
      <c r="E246" s="81">
        <f t="shared" si="51"/>
        <v>0</v>
      </c>
      <c r="F246" s="81">
        <f t="shared" si="51"/>
        <v>0</v>
      </c>
      <c r="G246" s="81">
        <f t="shared" si="51"/>
        <v>0</v>
      </c>
      <c r="H246" s="81">
        <f t="shared" si="51"/>
        <v>0</v>
      </c>
      <c r="I246" s="81">
        <f t="shared" si="51"/>
        <v>0</v>
      </c>
      <c r="J246" s="81">
        <f t="shared" si="51"/>
        <v>0</v>
      </c>
      <c r="K246" s="79"/>
      <c r="L246" s="79"/>
    </row>
    <row r="247" spans="1:12">
      <c r="A247" s="80">
        <f t="shared" si="38"/>
        <v>0</v>
      </c>
      <c r="B247" s="80" t="s">
        <v>349</v>
      </c>
      <c r="C247" s="214"/>
      <c r="D247" s="81">
        <f t="shared" ref="D247:J247" si="52">B82*$C$247*D$172</f>
        <v>0</v>
      </c>
      <c r="E247" s="81">
        <f t="shared" si="52"/>
        <v>0</v>
      </c>
      <c r="F247" s="81">
        <f t="shared" si="52"/>
        <v>0</v>
      </c>
      <c r="G247" s="81">
        <f t="shared" si="52"/>
        <v>0</v>
      </c>
      <c r="H247" s="81">
        <f t="shared" si="52"/>
        <v>0</v>
      </c>
      <c r="I247" s="81">
        <f t="shared" si="52"/>
        <v>0</v>
      </c>
      <c r="J247" s="81">
        <f t="shared" si="52"/>
        <v>0</v>
      </c>
      <c r="K247" s="79"/>
      <c r="L247" s="79"/>
    </row>
    <row r="248" spans="1:12">
      <c r="A248" s="80">
        <f t="shared" si="38"/>
        <v>0</v>
      </c>
      <c r="B248" s="80" t="s">
        <v>349</v>
      </c>
      <c r="C248" s="214"/>
      <c r="D248" s="81">
        <f t="shared" ref="D248:J248" si="53">B83*$C$248*D$172</f>
        <v>0</v>
      </c>
      <c r="E248" s="81">
        <f t="shared" si="53"/>
        <v>0</v>
      </c>
      <c r="F248" s="81">
        <f t="shared" si="53"/>
        <v>0</v>
      </c>
      <c r="G248" s="81">
        <f t="shared" si="53"/>
        <v>0</v>
      </c>
      <c r="H248" s="81">
        <f t="shared" si="53"/>
        <v>0</v>
      </c>
      <c r="I248" s="81">
        <f t="shared" si="53"/>
        <v>0</v>
      </c>
      <c r="J248" s="81">
        <f t="shared" si="53"/>
        <v>0</v>
      </c>
      <c r="K248" s="79"/>
      <c r="L248" s="79"/>
    </row>
    <row r="249" spans="1:12">
      <c r="A249" s="80">
        <f t="shared" si="38"/>
        <v>0</v>
      </c>
      <c r="B249" s="80" t="s">
        <v>349</v>
      </c>
      <c r="C249" s="214"/>
      <c r="D249" s="81">
        <f t="shared" ref="D249:J255" si="54">B84*$C249*D$172</f>
        <v>0</v>
      </c>
      <c r="E249" s="81">
        <f t="shared" si="54"/>
        <v>0</v>
      </c>
      <c r="F249" s="81">
        <f t="shared" si="54"/>
        <v>0</v>
      </c>
      <c r="G249" s="81">
        <f t="shared" si="54"/>
        <v>0</v>
      </c>
      <c r="H249" s="81">
        <f t="shared" si="54"/>
        <v>0</v>
      </c>
      <c r="I249" s="81">
        <f t="shared" si="54"/>
        <v>0</v>
      </c>
      <c r="J249" s="81">
        <f t="shared" si="54"/>
        <v>0</v>
      </c>
      <c r="K249" s="79"/>
      <c r="L249" s="79"/>
    </row>
    <row r="250" spans="1:12">
      <c r="A250" s="80">
        <f t="shared" si="38"/>
        <v>0</v>
      </c>
      <c r="B250" s="80" t="s">
        <v>349</v>
      </c>
      <c r="C250" s="214"/>
      <c r="D250" s="81">
        <f t="shared" si="54"/>
        <v>0</v>
      </c>
      <c r="E250" s="81">
        <f t="shared" si="54"/>
        <v>0</v>
      </c>
      <c r="F250" s="81">
        <f t="shared" si="54"/>
        <v>0</v>
      </c>
      <c r="G250" s="81">
        <f t="shared" si="54"/>
        <v>0</v>
      </c>
      <c r="H250" s="81">
        <f t="shared" si="54"/>
        <v>0</v>
      </c>
      <c r="I250" s="81">
        <f t="shared" si="54"/>
        <v>0</v>
      </c>
      <c r="J250" s="81">
        <f t="shared" si="54"/>
        <v>0</v>
      </c>
      <c r="K250" s="79"/>
      <c r="L250" s="79"/>
    </row>
    <row r="251" spans="1:12">
      <c r="A251" s="80">
        <f t="shared" si="38"/>
        <v>0</v>
      </c>
      <c r="B251" s="80" t="s">
        <v>349</v>
      </c>
      <c r="C251" s="214"/>
      <c r="D251" s="81">
        <f t="shared" si="54"/>
        <v>0</v>
      </c>
      <c r="E251" s="81">
        <f t="shared" si="54"/>
        <v>0</v>
      </c>
      <c r="F251" s="81">
        <f t="shared" si="54"/>
        <v>0</v>
      </c>
      <c r="G251" s="81">
        <f t="shared" si="54"/>
        <v>0</v>
      </c>
      <c r="H251" s="81">
        <f t="shared" si="54"/>
        <v>0</v>
      </c>
      <c r="I251" s="81">
        <f t="shared" si="54"/>
        <v>0</v>
      </c>
      <c r="J251" s="81">
        <f t="shared" si="54"/>
        <v>0</v>
      </c>
      <c r="K251" s="79"/>
      <c r="L251" s="79"/>
    </row>
    <row r="252" spans="1:12">
      <c r="A252" s="80">
        <f t="shared" si="38"/>
        <v>0</v>
      </c>
      <c r="B252" s="80" t="s">
        <v>349</v>
      </c>
      <c r="C252" s="214"/>
      <c r="D252" s="81">
        <f t="shared" si="54"/>
        <v>0</v>
      </c>
      <c r="E252" s="81">
        <f t="shared" si="54"/>
        <v>0</v>
      </c>
      <c r="F252" s="81">
        <f t="shared" si="54"/>
        <v>0</v>
      </c>
      <c r="G252" s="81">
        <f t="shared" si="54"/>
        <v>0</v>
      </c>
      <c r="H252" s="81">
        <f t="shared" si="54"/>
        <v>0</v>
      </c>
      <c r="I252" s="81">
        <f t="shared" si="54"/>
        <v>0</v>
      </c>
      <c r="J252" s="81">
        <f t="shared" si="54"/>
        <v>0</v>
      </c>
      <c r="K252" s="79"/>
      <c r="L252" s="79"/>
    </row>
    <row r="253" spans="1:12">
      <c r="A253" s="80">
        <f t="shared" si="38"/>
        <v>0</v>
      </c>
      <c r="B253" s="80" t="s">
        <v>349</v>
      </c>
      <c r="C253" s="214"/>
      <c r="D253" s="81">
        <f t="shared" si="54"/>
        <v>0</v>
      </c>
      <c r="E253" s="81">
        <f t="shared" si="54"/>
        <v>0</v>
      </c>
      <c r="F253" s="81">
        <f t="shared" si="54"/>
        <v>0</v>
      </c>
      <c r="G253" s="81">
        <f t="shared" si="54"/>
        <v>0</v>
      </c>
      <c r="H253" s="81">
        <f t="shared" si="54"/>
        <v>0</v>
      </c>
      <c r="I253" s="81">
        <f t="shared" si="54"/>
        <v>0</v>
      </c>
      <c r="J253" s="81">
        <f t="shared" si="54"/>
        <v>0</v>
      </c>
      <c r="K253" s="79"/>
      <c r="L253" s="79"/>
    </row>
    <row r="254" spans="1:12">
      <c r="A254" s="80">
        <f t="shared" si="38"/>
        <v>0</v>
      </c>
      <c r="B254" s="80" t="s">
        <v>349</v>
      </c>
      <c r="C254" s="214"/>
      <c r="D254" s="81">
        <f t="shared" si="54"/>
        <v>0</v>
      </c>
      <c r="E254" s="81">
        <f t="shared" si="54"/>
        <v>0</v>
      </c>
      <c r="F254" s="81">
        <f t="shared" si="54"/>
        <v>0</v>
      </c>
      <c r="G254" s="81">
        <f t="shared" si="54"/>
        <v>0</v>
      </c>
      <c r="H254" s="81">
        <f t="shared" si="54"/>
        <v>0</v>
      </c>
      <c r="I254" s="81">
        <f t="shared" si="54"/>
        <v>0</v>
      </c>
      <c r="J254" s="81">
        <f t="shared" si="54"/>
        <v>0</v>
      </c>
      <c r="K254" s="79"/>
      <c r="L254" s="79"/>
    </row>
    <row r="255" spans="1:12">
      <c r="A255" s="80">
        <f t="shared" ref="A255:A274" si="55">A201</f>
        <v>0</v>
      </c>
      <c r="B255" s="80"/>
      <c r="C255" s="214"/>
      <c r="D255" s="81">
        <f t="shared" si="54"/>
        <v>0</v>
      </c>
      <c r="E255" s="81">
        <f t="shared" si="54"/>
        <v>0</v>
      </c>
      <c r="F255" s="81">
        <f t="shared" si="54"/>
        <v>0</v>
      </c>
      <c r="G255" s="81">
        <f t="shared" si="54"/>
        <v>0</v>
      </c>
      <c r="H255" s="81">
        <f t="shared" si="54"/>
        <v>0</v>
      </c>
      <c r="I255" s="81">
        <f t="shared" si="54"/>
        <v>0</v>
      </c>
      <c r="J255" s="81">
        <f t="shared" si="54"/>
        <v>0</v>
      </c>
      <c r="K255" s="79"/>
      <c r="L255" s="79"/>
    </row>
    <row r="256" spans="1:12">
      <c r="A256" s="82" t="str">
        <f t="shared" si="55"/>
        <v>Grains Crops and  Production Details</v>
      </c>
      <c r="B256" s="80"/>
      <c r="C256" s="214"/>
      <c r="D256" s="81"/>
      <c r="E256" s="81"/>
      <c r="F256" s="81"/>
      <c r="G256" s="81"/>
      <c r="H256" s="81"/>
      <c r="I256" s="81"/>
      <c r="J256" s="81"/>
      <c r="K256" s="79"/>
      <c r="L256" s="79"/>
    </row>
    <row r="257" spans="1:12">
      <c r="A257" s="80" t="str">
        <f t="shared" si="55"/>
        <v>Flax seed</v>
      </c>
      <c r="B257" s="80" t="s">
        <v>349</v>
      </c>
      <c r="C257" s="214">
        <v>1800</v>
      </c>
      <c r="D257" s="81">
        <f t="shared" ref="D257:D274" si="56">B92*$C257*D$172</f>
        <v>186227.36842105264</v>
      </c>
      <c r="E257" s="81">
        <f t="shared" ref="E257:E274" si="57">C92*$C257*E$172</f>
        <v>214412.21052631584</v>
      </c>
      <c r="F257" s="81">
        <f t="shared" ref="F257:F274" si="58">D92*$C257*F$172</f>
        <v>244949.96842105265</v>
      </c>
      <c r="G257" s="81">
        <f t="shared" ref="G257:G274" si="59">E92*$C257*G$172</f>
        <v>278005.4715789475</v>
      </c>
      <c r="H257" s="81">
        <f t="shared" ref="H257:H274" si="60">F92*$C257*H$172</f>
        <v>313754.15013157908</v>
      </c>
      <c r="I257" s="81">
        <f t="shared" ref="I257:I274" si="61">G92*$C257*I$172</f>
        <v>352382.68286052655</v>
      </c>
      <c r="J257" s="81">
        <f t="shared" ref="J257:J274" si="62">H92*$C257*J$172</f>
        <v>394089.68348703976</v>
      </c>
      <c r="K257" s="79"/>
      <c r="L257" s="79"/>
    </row>
    <row r="258" spans="1:12">
      <c r="A258" s="80" t="e">
        <f t="shared" si="55"/>
        <v>#REF!</v>
      </c>
      <c r="B258" s="80" t="s">
        <v>349</v>
      </c>
      <c r="C258" s="214">
        <v>800</v>
      </c>
      <c r="D258" s="81" t="e">
        <f t="shared" si="56"/>
        <v>#REF!</v>
      </c>
      <c r="E258" s="81" t="e">
        <f t="shared" si="57"/>
        <v>#REF!</v>
      </c>
      <c r="F258" s="81" t="e">
        <f t="shared" si="58"/>
        <v>#REF!</v>
      </c>
      <c r="G258" s="81" t="e">
        <f t="shared" si="59"/>
        <v>#REF!</v>
      </c>
      <c r="H258" s="81" t="e">
        <f t="shared" si="60"/>
        <v>#REF!</v>
      </c>
      <c r="I258" s="81" t="e">
        <f t="shared" si="61"/>
        <v>#REF!</v>
      </c>
      <c r="J258" s="81" t="e">
        <f t="shared" si="62"/>
        <v>#REF!</v>
      </c>
      <c r="K258" s="79"/>
      <c r="L258" s="79"/>
    </row>
    <row r="259" spans="1:12">
      <c r="A259" s="80" t="e">
        <f t="shared" si="55"/>
        <v>#REF!</v>
      </c>
      <c r="B259" s="80" t="s">
        <v>349</v>
      </c>
      <c r="C259" s="214">
        <v>1300</v>
      </c>
      <c r="D259" s="81" t="e">
        <f t="shared" si="56"/>
        <v>#REF!</v>
      </c>
      <c r="E259" s="81" t="e">
        <f t="shared" si="57"/>
        <v>#REF!</v>
      </c>
      <c r="F259" s="81" t="e">
        <f t="shared" si="58"/>
        <v>#REF!</v>
      </c>
      <c r="G259" s="81" t="e">
        <f t="shared" si="59"/>
        <v>#REF!</v>
      </c>
      <c r="H259" s="81" t="e">
        <f t="shared" si="60"/>
        <v>#REF!</v>
      </c>
      <c r="I259" s="81" t="e">
        <f t="shared" si="61"/>
        <v>#REF!</v>
      </c>
      <c r="J259" s="81" t="e">
        <f t="shared" si="62"/>
        <v>#REF!</v>
      </c>
      <c r="K259" s="79"/>
      <c r="L259" s="79"/>
    </row>
    <row r="260" spans="1:12">
      <c r="A260" s="80" t="str">
        <f t="shared" si="55"/>
        <v xml:space="preserve">Safflower Seed </v>
      </c>
      <c r="B260" s="80" t="s">
        <v>349</v>
      </c>
      <c r="C260" s="214">
        <v>2800</v>
      </c>
      <c r="D260" s="81">
        <f t="shared" si="56"/>
        <v>144843.50877192983</v>
      </c>
      <c r="E260" s="81">
        <f t="shared" si="57"/>
        <v>166765.05263157899</v>
      </c>
      <c r="F260" s="81">
        <f t="shared" si="58"/>
        <v>190516.64210526319</v>
      </c>
      <c r="G260" s="81">
        <f t="shared" si="59"/>
        <v>216226.47789473692</v>
      </c>
      <c r="H260" s="81">
        <f t="shared" si="60"/>
        <v>244031.00565789483</v>
      </c>
      <c r="I260" s="81">
        <f t="shared" si="61"/>
        <v>274075.42000263173</v>
      </c>
      <c r="J260" s="81">
        <f t="shared" si="62"/>
        <v>306514.19826769753</v>
      </c>
      <c r="K260" s="79"/>
      <c r="L260" s="79"/>
    </row>
    <row r="261" spans="1:12">
      <c r="A261" s="80" t="e">
        <f t="shared" si="55"/>
        <v>#REF!</v>
      </c>
      <c r="B261" s="80" t="s">
        <v>349</v>
      </c>
      <c r="C261" s="214">
        <v>1300</v>
      </c>
      <c r="D261" s="81" t="e">
        <f t="shared" si="56"/>
        <v>#REF!</v>
      </c>
      <c r="E261" s="81" t="e">
        <f t="shared" si="57"/>
        <v>#REF!</v>
      </c>
      <c r="F261" s="81" t="e">
        <f t="shared" si="58"/>
        <v>#REF!</v>
      </c>
      <c r="G261" s="81" t="e">
        <f t="shared" si="59"/>
        <v>#REF!</v>
      </c>
      <c r="H261" s="81" t="e">
        <f t="shared" si="60"/>
        <v>#REF!</v>
      </c>
      <c r="I261" s="81" t="e">
        <f t="shared" si="61"/>
        <v>#REF!</v>
      </c>
      <c r="J261" s="81" t="e">
        <f t="shared" si="62"/>
        <v>#REF!</v>
      </c>
      <c r="K261" s="79"/>
      <c r="L261" s="79"/>
    </row>
    <row r="262" spans="1:12">
      <c r="A262" s="80" t="e">
        <f t="shared" si="55"/>
        <v>#REF!</v>
      </c>
      <c r="B262" s="80" t="s">
        <v>349</v>
      </c>
      <c r="C262" s="214"/>
      <c r="D262" s="81" t="e">
        <f t="shared" si="56"/>
        <v>#REF!</v>
      </c>
      <c r="E262" s="81" t="e">
        <f t="shared" si="57"/>
        <v>#REF!</v>
      </c>
      <c r="F262" s="81" t="e">
        <f t="shared" si="58"/>
        <v>#REF!</v>
      </c>
      <c r="G262" s="81" t="e">
        <f t="shared" si="59"/>
        <v>#REF!</v>
      </c>
      <c r="H262" s="81" t="e">
        <f t="shared" si="60"/>
        <v>#REF!</v>
      </c>
      <c r="I262" s="81" t="e">
        <f t="shared" si="61"/>
        <v>#REF!</v>
      </c>
      <c r="J262" s="81" t="e">
        <f t="shared" si="62"/>
        <v>#REF!</v>
      </c>
      <c r="K262" s="79"/>
      <c r="L262" s="79"/>
    </row>
    <row r="263" spans="1:12">
      <c r="A263" s="80" t="e">
        <f t="shared" si="55"/>
        <v>#REF!</v>
      </c>
      <c r="B263" s="80" t="s">
        <v>349</v>
      </c>
      <c r="C263" s="214"/>
      <c r="D263" s="81" t="e">
        <f t="shared" si="56"/>
        <v>#REF!</v>
      </c>
      <c r="E263" s="81" t="e">
        <f t="shared" si="57"/>
        <v>#REF!</v>
      </c>
      <c r="F263" s="81" t="e">
        <f t="shared" si="58"/>
        <v>#REF!</v>
      </c>
      <c r="G263" s="81" t="e">
        <f t="shared" si="59"/>
        <v>#REF!</v>
      </c>
      <c r="H263" s="81" t="e">
        <f t="shared" si="60"/>
        <v>#REF!</v>
      </c>
      <c r="I263" s="81" t="e">
        <f t="shared" si="61"/>
        <v>#REF!</v>
      </c>
      <c r="J263" s="81" t="e">
        <f t="shared" si="62"/>
        <v>#REF!</v>
      </c>
      <c r="K263" s="79"/>
      <c r="L263" s="79"/>
    </row>
    <row r="264" spans="1:12">
      <c r="A264" s="80" t="e">
        <f t="shared" si="55"/>
        <v>#REF!</v>
      </c>
      <c r="B264" s="80" t="s">
        <v>349</v>
      </c>
      <c r="C264" s="214"/>
      <c r="D264" s="81" t="e">
        <f t="shared" si="56"/>
        <v>#REF!</v>
      </c>
      <c r="E264" s="81" t="e">
        <f t="shared" si="57"/>
        <v>#REF!</v>
      </c>
      <c r="F264" s="81" t="e">
        <f t="shared" si="58"/>
        <v>#REF!</v>
      </c>
      <c r="G264" s="81" t="e">
        <f t="shared" si="59"/>
        <v>#REF!</v>
      </c>
      <c r="H264" s="81" t="e">
        <f t="shared" si="60"/>
        <v>#REF!</v>
      </c>
      <c r="I264" s="81" t="e">
        <f t="shared" si="61"/>
        <v>#REF!</v>
      </c>
      <c r="J264" s="81" t="e">
        <f t="shared" si="62"/>
        <v>#REF!</v>
      </c>
      <c r="K264" s="79"/>
      <c r="L264" s="79"/>
    </row>
    <row r="265" spans="1:12">
      <c r="A265" s="80" t="e">
        <f t="shared" si="55"/>
        <v>#REF!</v>
      </c>
      <c r="B265" s="80" t="s">
        <v>349</v>
      </c>
      <c r="C265" s="214"/>
      <c r="D265" s="81" t="e">
        <f t="shared" si="56"/>
        <v>#REF!</v>
      </c>
      <c r="E265" s="81" t="e">
        <f t="shared" si="57"/>
        <v>#REF!</v>
      </c>
      <c r="F265" s="81" t="e">
        <f t="shared" si="58"/>
        <v>#REF!</v>
      </c>
      <c r="G265" s="81" t="e">
        <f t="shared" si="59"/>
        <v>#REF!</v>
      </c>
      <c r="H265" s="81" t="e">
        <f t="shared" si="60"/>
        <v>#REF!</v>
      </c>
      <c r="I265" s="81" t="e">
        <f t="shared" si="61"/>
        <v>#REF!</v>
      </c>
      <c r="J265" s="81" t="e">
        <f t="shared" si="62"/>
        <v>#REF!</v>
      </c>
      <c r="K265" s="79"/>
      <c r="L265" s="79"/>
    </row>
    <row r="266" spans="1:12">
      <c r="A266" s="80" t="e">
        <f t="shared" si="55"/>
        <v>#REF!</v>
      </c>
      <c r="B266" s="80" t="s">
        <v>349</v>
      </c>
      <c r="C266" s="214">
        <v>1800</v>
      </c>
      <c r="D266" s="81" t="e">
        <f t="shared" si="56"/>
        <v>#REF!</v>
      </c>
      <c r="E266" s="81" t="e">
        <f t="shared" si="57"/>
        <v>#REF!</v>
      </c>
      <c r="F266" s="81" t="e">
        <f t="shared" si="58"/>
        <v>#REF!</v>
      </c>
      <c r="G266" s="81" t="e">
        <f t="shared" si="59"/>
        <v>#REF!</v>
      </c>
      <c r="H266" s="81" t="e">
        <f t="shared" si="60"/>
        <v>#REF!</v>
      </c>
      <c r="I266" s="81" t="e">
        <f t="shared" si="61"/>
        <v>#REF!</v>
      </c>
      <c r="J266" s="81" t="e">
        <f t="shared" si="62"/>
        <v>#REF!</v>
      </c>
      <c r="K266" s="79"/>
      <c r="L266" s="79"/>
    </row>
    <row r="267" spans="1:12">
      <c r="A267" s="80" t="e">
        <f t="shared" si="55"/>
        <v>#REF!</v>
      </c>
      <c r="B267" s="80" t="s">
        <v>349</v>
      </c>
      <c r="C267" s="214">
        <v>800</v>
      </c>
      <c r="D267" s="81" t="e">
        <f t="shared" si="56"/>
        <v>#REF!</v>
      </c>
      <c r="E267" s="81" t="e">
        <f t="shared" si="57"/>
        <v>#REF!</v>
      </c>
      <c r="F267" s="81" t="e">
        <f t="shared" si="58"/>
        <v>#REF!</v>
      </c>
      <c r="G267" s="81" t="e">
        <f t="shared" si="59"/>
        <v>#REF!</v>
      </c>
      <c r="H267" s="81" t="e">
        <f t="shared" si="60"/>
        <v>#REF!</v>
      </c>
      <c r="I267" s="81" t="e">
        <f t="shared" si="61"/>
        <v>#REF!</v>
      </c>
      <c r="J267" s="81" t="e">
        <f t="shared" si="62"/>
        <v>#REF!</v>
      </c>
      <c r="K267" s="79"/>
      <c r="L267" s="79"/>
    </row>
    <row r="268" spans="1:12">
      <c r="A268" s="80" t="e">
        <f t="shared" si="55"/>
        <v>#REF!</v>
      </c>
      <c r="B268" s="80" t="s">
        <v>349</v>
      </c>
      <c r="C268" s="214">
        <v>1300</v>
      </c>
      <c r="D268" s="81" t="e">
        <f t="shared" si="56"/>
        <v>#REF!</v>
      </c>
      <c r="E268" s="81" t="e">
        <f t="shared" si="57"/>
        <v>#REF!</v>
      </c>
      <c r="F268" s="81" t="e">
        <f t="shared" si="58"/>
        <v>#REF!</v>
      </c>
      <c r="G268" s="81" t="e">
        <f t="shared" si="59"/>
        <v>#REF!</v>
      </c>
      <c r="H268" s="81" t="e">
        <f t="shared" si="60"/>
        <v>#REF!</v>
      </c>
      <c r="I268" s="81" t="e">
        <f t="shared" si="61"/>
        <v>#REF!</v>
      </c>
      <c r="J268" s="81" t="e">
        <f t="shared" si="62"/>
        <v>#REF!</v>
      </c>
      <c r="K268" s="79"/>
      <c r="L268" s="79"/>
    </row>
    <row r="269" spans="1:12">
      <c r="A269" s="80" t="e">
        <f t="shared" si="55"/>
        <v>#REF!</v>
      </c>
      <c r="B269" s="80" t="s">
        <v>349</v>
      </c>
      <c r="C269" s="214">
        <v>2800</v>
      </c>
      <c r="D269" s="81" t="e">
        <f t="shared" si="56"/>
        <v>#REF!</v>
      </c>
      <c r="E269" s="81" t="e">
        <f t="shared" si="57"/>
        <v>#REF!</v>
      </c>
      <c r="F269" s="81" t="e">
        <f t="shared" si="58"/>
        <v>#REF!</v>
      </c>
      <c r="G269" s="81" t="e">
        <f t="shared" si="59"/>
        <v>#REF!</v>
      </c>
      <c r="H269" s="81" t="e">
        <f t="shared" si="60"/>
        <v>#REF!</v>
      </c>
      <c r="I269" s="81" t="e">
        <f t="shared" si="61"/>
        <v>#REF!</v>
      </c>
      <c r="J269" s="81" t="e">
        <f t="shared" si="62"/>
        <v>#REF!</v>
      </c>
      <c r="K269" s="79"/>
      <c r="L269" s="79"/>
    </row>
    <row r="270" spans="1:12">
      <c r="A270" s="80" t="e">
        <f t="shared" si="55"/>
        <v>#REF!</v>
      </c>
      <c r="B270" s="80" t="s">
        <v>349</v>
      </c>
      <c r="C270" s="214">
        <v>1800</v>
      </c>
      <c r="D270" s="81" t="e">
        <f t="shared" si="56"/>
        <v>#REF!</v>
      </c>
      <c r="E270" s="81" t="e">
        <f t="shared" si="57"/>
        <v>#REF!</v>
      </c>
      <c r="F270" s="81" t="e">
        <f t="shared" si="58"/>
        <v>#REF!</v>
      </c>
      <c r="G270" s="81" t="e">
        <f t="shared" si="59"/>
        <v>#REF!</v>
      </c>
      <c r="H270" s="81" t="e">
        <f t="shared" si="60"/>
        <v>#REF!</v>
      </c>
      <c r="I270" s="81" t="e">
        <f t="shared" si="61"/>
        <v>#REF!</v>
      </c>
      <c r="J270" s="81" t="e">
        <f t="shared" si="62"/>
        <v>#REF!</v>
      </c>
      <c r="K270" s="79"/>
      <c r="L270" s="79"/>
    </row>
    <row r="271" spans="1:12">
      <c r="A271" s="80" t="e">
        <f t="shared" si="55"/>
        <v>#REF!</v>
      </c>
      <c r="B271" s="80" t="s">
        <v>349</v>
      </c>
      <c r="C271" s="214"/>
      <c r="D271" s="81" t="e">
        <f t="shared" si="56"/>
        <v>#REF!</v>
      </c>
      <c r="E271" s="81" t="e">
        <f t="shared" si="57"/>
        <v>#REF!</v>
      </c>
      <c r="F271" s="81" t="e">
        <f t="shared" si="58"/>
        <v>#REF!</v>
      </c>
      <c r="G271" s="81" t="e">
        <f t="shared" si="59"/>
        <v>#REF!</v>
      </c>
      <c r="H271" s="81" t="e">
        <f t="shared" si="60"/>
        <v>#REF!</v>
      </c>
      <c r="I271" s="81" t="e">
        <f t="shared" si="61"/>
        <v>#REF!</v>
      </c>
      <c r="J271" s="81" t="e">
        <f t="shared" si="62"/>
        <v>#REF!</v>
      </c>
      <c r="K271" s="79"/>
      <c r="L271" s="79"/>
    </row>
    <row r="272" spans="1:12">
      <c r="A272" s="80" t="e">
        <f t="shared" si="55"/>
        <v>#REF!</v>
      </c>
      <c r="B272" s="80" t="s">
        <v>349</v>
      </c>
      <c r="C272" s="214"/>
      <c r="D272" s="81" t="e">
        <f t="shared" si="56"/>
        <v>#REF!</v>
      </c>
      <c r="E272" s="81" t="e">
        <f t="shared" si="57"/>
        <v>#REF!</v>
      </c>
      <c r="F272" s="81" t="e">
        <f t="shared" si="58"/>
        <v>#REF!</v>
      </c>
      <c r="G272" s="81" t="e">
        <f t="shared" si="59"/>
        <v>#REF!</v>
      </c>
      <c r="H272" s="81" t="e">
        <f t="shared" si="60"/>
        <v>#REF!</v>
      </c>
      <c r="I272" s="81" t="e">
        <f t="shared" si="61"/>
        <v>#REF!</v>
      </c>
      <c r="J272" s="81" t="e">
        <f t="shared" si="62"/>
        <v>#REF!</v>
      </c>
      <c r="K272" s="79"/>
      <c r="L272" s="79"/>
    </row>
    <row r="273" spans="1:12">
      <c r="A273" s="80" t="e">
        <f t="shared" si="55"/>
        <v>#REF!</v>
      </c>
      <c r="B273" s="80" t="s">
        <v>349</v>
      </c>
      <c r="C273" s="214"/>
      <c r="D273" s="81" t="e">
        <f t="shared" si="56"/>
        <v>#REF!</v>
      </c>
      <c r="E273" s="81" t="e">
        <f t="shared" si="57"/>
        <v>#REF!</v>
      </c>
      <c r="F273" s="81" t="e">
        <f t="shared" si="58"/>
        <v>#REF!</v>
      </c>
      <c r="G273" s="81" t="e">
        <f t="shared" si="59"/>
        <v>#REF!</v>
      </c>
      <c r="H273" s="81" t="e">
        <f t="shared" si="60"/>
        <v>#REF!</v>
      </c>
      <c r="I273" s="81" t="e">
        <f t="shared" si="61"/>
        <v>#REF!</v>
      </c>
      <c r="J273" s="81" t="e">
        <f t="shared" si="62"/>
        <v>#REF!</v>
      </c>
      <c r="K273" s="79"/>
      <c r="L273" s="79"/>
    </row>
    <row r="274" spans="1:12">
      <c r="A274" s="80" t="e">
        <f t="shared" si="55"/>
        <v>#REF!</v>
      </c>
      <c r="B274" s="80" t="s">
        <v>349</v>
      </c>
      <c r="C274" s="214"/>
      <c r="D274" s="81" t="e">
        <f t="shared" si="56"/>
        <v>#REF!</v>
      </c>
      <c r="E274" s="81" t="e">
        <f t="shared" si="57"/>
        <v>#REF!</v>
      </c>
      <c r="F274" s="81" t="e">
        <f t="shared" si="58"/>
        <v>#REF!</v>
      </c>
      <c r="G274" s="81" t="e">
        <f t="shared" si="59"/>
        <v>#REF!</v>
      </c>
      <c r="H274" s="81" t="e">
        <f t="shared" si="60"/>
        <v>#REF!</v>
      </c>
      <c r="I274" s="81" t="e">
        <f t="shared" si="61"/>
        <v>#REF!</v>
      </c>
      <c r="J274" s="81" t="e">
        <f t="shared" si="62"/>
        <v>#REF!</v>
      </c>
      <c r="K274" s="79"/>
      <c r="L274" s="79"/>
    </row>
    <row r="275" spans="1:12">
      <c r="A275" s="80" t="e">
        <f>A224</f>
        <v>#REF!</v>
      </c>
      <c r="B275" s="80" t="s">
        <v>349</v>
      </c>
      <c r="C275" s="214">
        <v>4700</v>
      </c>
      <c r="D275" s="81" t="e">
        <f t="shared" ref="D275:J280" si="63">B113*$C275*D$172</f>
        <v>#REF!</v>
      </c>
      <c r="E275" s="81" t="e">
        <f t="shared" si="63"/>
        <v>#REF!</v>
      </c>
      <c r="F275" s="81" t="e">
        <f t="shared" si="63"/>
        <v>#REF!</v>
      </c>
      <c r="G275" s="81" t="e">
        <f t="shared" si="63"/>
        <v>#REF!</v>
      </c>
      <c r="H275" s="81" t="e">
        <f t="shared" si="63"/>
        <v>#REF!</v>
      </c>
      <c r="I275" s="81" t="e">
        <f t="shared" si="63"/>
        <v>#REF!</v>
      </c>
      <c r="J275" s="81" t="e">
        <f t="shared" si="63"/>
        <v>#REF!</v>
      </c>
      <c r="K275" s="79"/>
      <c r="L275" s="79"/>
    </row>
    <row r="276" spans="1:12">
      <c r="A276" s="80" t="e">
        <f>A225</f>
        <v>#REF!</v>
      </c>
      <c r="B276" s="80" t="s">
        <v>349</v>
      </c>
      <c r="C276" s="214"/>
      <c r="D276" s="81" t="e">
        <f t="shared" si="63"/>
        <v>#REF!</v>
      </c>
      <c r="E276" s="81" t="e">
        <f t="shared" si="63"/>
        <v>#REF!</v>
      </c>
      <c r="F276" s="81" t="e">
        <f t="shared" si="63"/>
        <v>#REF!</v>
      </c>
      <c r="G276" s="81" t="e">
        <f t="shared" si="63"/>
        <v>#REF!</v>
      </c>
      <c r="H276" s="81" t="e">
        <f t="shared" si="63"/>
        <v>#REF!</v>
      </c>
      <c r="I276" s="81" t="e">
        <f t="shared" si="63"/>
        <v>#REF!</v>
      </c>
      <c r="J276" s="81" t="e">
        <f t="shared" si="63"/>
        <v>#REF!</v>
      </c>
      <c r="K276" s="79"/>
      <c r="L276" s="79"/>
    </row>
    <row r="277" spans="1:12">
      <c r="A277" s="80" t="e">
        <f>A226</f>
        <v>#REF!</v>
      </c>
      <c r="B277" s="80" t="s">
        <v>349</v>
      </c>
      <c r="C277" s="214"/>
      <c r="D277" s="81" t="e">
        <f t="shared" si="63"/>
        <v>#REF!</v>
      </c>
      <c r="E277" s="81" t="e">
        <f t="shared" si="63"/>
        <v>#REF!</v>
      </c>
      <c r="F277" s="81" t="e">
        <f t="shared" si="63"/>
        <v>#REF!</v>
      </c>
      <c r="G277" s="81" t="e">
        <f t="shared" si="63"/>
        <v>#REF!</v>
      </c>
      <c r="H277" s="81" t="e">
        <f t="shared" si="63"/>
        <v>#REF!</v>
      </c>
      <c r="I277" s="81" t="e">
        <f t="shared" si="63"/>
        <v>#REF!</v>
      </c>
      <c r="J277" s="81" t="e">
        <f t="shared" si="63"/>
        <v>#REF!</v>
      </c>
      <c r="K277" s="79"/>
      <c r="L277" s="79"/>
    </row>
    <row r="278" spans="1:12">
      <c r="A278" s="80" t="e">
        <f>A227</f>
        <v>#REF!</v>
      </c>
      <c r="B278" s="80" t="s">
        <v>349</v>
      </c>
      <c r="C278" s="214"/>
      <c r="D278" s="81" t="e">
        <f t="shared" si="63"/>
        <v>#REF!</v>
      </c>
      <c r="E278" s="81" t="e">
        <f t="shared" si="63"/>
        <v>#REF!</v>
      </c>
      <c r="F278" s="81" t="e">
        <f t="shared" si="63"/>
        <v>#REF!</v>
      </c>
      <c r="G278" s="81" t="e">
        <f t="shared" si="63"/>
        <v>#REF!</v>
      </c>
      <c r="H278" s="81" t="e">
        <f t="shared" si="63"/>
        <v>#REF!</v>
      </c>
      <c r="I278" s="81" t="e">
        <f t="shared" si="63"/>
        <v>#REF!</v>
      </c>
      <c r="J278" s="81" t="e">
        <f t="shared" si="63"/>
        <v>#REF!</v>
      </c>
      <c r="K278" s="79"/>
      <c r="L278" s="79"/>
    </row>
    <row r="279" spans="1:12">
      <c r="A279" s="80">
        <f>A228</f>
        <v>0</v>
      </c>
      <c r="B279" s="80" t="s">
        <v>349</v>
      </c>
      <c r="C279" s="214"/>
      <c r="D279" s="81">
        <f t="shared" si="63"/>
        <v>0</v>
      </c>
      <c r="E279" s="81">
        <f t="shared" si="63"/>
        <v>0</v>
      </c>
      <c r="F279" s="81">
        <f t="shared" si="63"/>
        <v>0</v>
      </c>
      <c r="G279" s="81">
        <f t="shared" si="63"/>
        <v>0</v>
      </c>
      <c r="H279" s="81">
        <f t="shared" si="63"/>
        <v>0</v>
      </c>
      <c r="I279" s="81">
        <f t="shared" si="63"/>
        <v>0</v>
      </c>
      <c r="J279" s="81">
        <f t="shared" si="63"/>
        <v>0</v>
      </c>
      <c r="K279" s="79"/>
      <c r="L279" s="79"/>
    </row>
    <row r="280" spans="1:12">
      <c r="A280" s="80">
        <f>A230</f>
        <v>0</v>
      </c>
      <c r="B280" s="80"/>
      <c r="C280" s="214"/>
      <c r="D280" s="81">
        <f t="shared" si="63"/>
        <v>0</v>
      </c>
      <c r="E280" s="81">
        <f t="shared" si="63"/>
        <v>0</v>
      </c>
      <c r="F280" s="81">
        <f t="shared" si="63"/>
        <v>0</v>
      </c>
      <c r="G280" s="81">
        <f t="shared" si="63"/>
        <v>0</v>
      </c>
      <c r="H280" s="81">
        <f t="shared" si="63"/>
        <v>0</v>
      </c>
      <c r="I280" s="81">
        <f t="shared" si="63"/>
        <v>0</v>
      </c>
      <c r="J280" s="81">
        <f t="shared" si="63"/>
        <v>0</v>
      </c>
      <c r="K280" s="79"/>
      <c r="L280" s="79"/>
    </row>
    <row r="281" spans="1:12">
      <c r="A281" s="80"/>
      <c r="B281" s="80"/>
      <c r="C281" s="214"/>
      <c r="D281" s="81"/>
      <c r="E281" s="81"/>
      <c r="F281" s="81"/>
      <c r="G281" s="81"/>
      <c r="H281" s="81"/>
      <c r="I281" s="81"/>
      <c r="J281" s="81"/>
      <c r="K281" s="79"/>
      <c r="L281" s="79"/>
    </row>
    <row r="282" spans="1:12">
      <c r="A282" s="80" t="s">
        <v>302</v>
      </c>
      <c r="B282" s="191">
        <v>5</v>
      </c>
      <c r="C282" s="191">
        <v>300</v>
      </c>
      <c r="D282" s="81">
        <f t="shared" ref="D282:J282" si="64">B10*$B$282*$C$282*D172</f>
        <v>9.375</v>
      </c>
      <c r="E282" s="81">
        <f t="shared" si="64"/>
        <v>9.84375</v>
      </c>
      <c r="F282" s="81">
        <f t="shared" si="64"/>
        <v>10.3359375</v>
      </c>
      <c r="G282" s="81">
        <f t="shared" si="64"/>
        <v>10.852734375000001</v>
      </c>
      <c r="H282" s="81">
        <f t="shared" si="64"/>
        <v>11.395371093750002</v>
      </c>
      <c r="I282" s="81">
        <f t="shared" si="64"/>
        <v>11.965139648437503</v>
      </c>
      <c r="J282" s="81">
        <f t="shared" si="64"/>
        <v>12.563396630859378</v>
      </c>
      <c r="K282" s="79"/>
      <c r="L282" s="79"/>
    </row>
    <row r="283" spans="1:12">
      <c r="A283" s="80" t="s">
        <v>139</v>
      </c>
      <c r="B283" s="80">
        <f>'2.Capex Details'!H59*0.746*8</f>
        <v>0</v>
      </c>
      <c r="C283" s="191">
        <v>8</v>
      </c>
      <c r="D283" s="81">
        <f t="shared" ref="D283:J283" si="65">$B$283*$C$283*D172*B10</f>
        <v>0</v>
      </c>
      <c r="E283" s="81">
        <f t="shared" si="65"/>
        <v>0</v>
      </c>
      <c r="F283" s="81">
        <f t="shared" si="65"/>
        <v>0</v>
      </c>
      <c r="G283" s="81">
        <f t="shared" si="65"/>
        <v>0</v>
      </c>
      <c r="H283" s="81">
        <f t="shared" si="65"/>
        <v>0</v>
      </c>
      <c r="I283" s="81">
        <f t="shared" si="65"/>
        <v>0</v>
      </c>
      <c r="J283" s="81">
        <f t="shared" si="65"/>
        <v>0</v>
      </c>
      <c r="K283" s="79"/>
      <c r="L283" s="79"/>
    </row>
    <row r="284" spans="1:12">
      <c r="A284" s="80" t="s">
        <v>439</v>
      </c>
      <c r="B284" s="80"/>
      <c r="C284" s="191">
        <v>30</v>
      </c>
      <c r="D284" s="81" t="e">
        <f t="shared" ref="D284:J284" si="66">SUM(B120:B141)*$C$284*D172</f>
        <v>#VALUE!</v>
      </c>
      <c r="E284" s="81" t="e">
        <f t="shared" si="66"/>
        <v>#VALUE!</v>
      </c>
      <c r="F284" s="81" t="e">
        <f t="shared" si="66"/>
        <v>#VALUE!</v>
      </c>
      <c r="G284" s="81" t="e">
        <f t="shared" si="66"/>
        <v>#VALUE!</v>
      </c>
      <c r="H284" s="81" t="e">
        <f t="shared" si="66"/>
        <v>#VALUE!</v>
      </c>
      <c r="I284" s="81" t="e">
        <f t="shared" si="66"/>
        <v>#VALUE!</v>
      </c>
      <c r="J284" s="81" t="e">
        <f t="shared" si="66"/>
        <v>#VALUE!</v>
      </c>
      <c r="K284" s="79"/>
      <c r="L284" s="79"/>
    </row>
    <row r="285" spans="1:12">
      <c r="A285" s="80" t="s">
        <v>438</v>
      </c>
      <c r="B285" s="80"/>
      <c r="C285" s="191">
        <v>30</v>
      </c>
      <c r="D285" s="81" t="e">
        <f t="shared" ref="D285:J285" si="67">SUM(B120:B141)*$C$285*D172</f>
        <v>#VALUE!</v>
      </c>
      <c r="E285" s="81" t="e">
        <f t="shared" si="67"/>
        <v>#VALUE!</v>
      </c>
      <c r="F285" s="81" t="e">
        <f t="shared" si="67"/>
        <v>#VALUE!</v>
      </c>
      <c r="G285" s="81" t="e">
        <f t="shared" si="67"/>
        <v>#VALUE!</v>
      </c>
      <c r="H285" s="81" t="e">
        <f t="shared" si="67"/>
        <v>#VALUE!</v>
      </c>
      <c r="I285" s="81" t="e">
        <f t="shared" si="67"/>
        <v>#VALUE!</v>
      </c>
      <c r="J285" s="81" t="e">
        <f t="shared" si="67"/>
        <v>#VALUE!</v>
      </c>
      <c r="K285" s="79"/>
      <c r="L285" s="79"/>
    </row>
    <row r="286" spans="1:12">
      <c r="A286" s="10"/>
      <c r="B286" s="10"/>
      <c r="C286" s="10"/>
      <c r="D286" s="10"/>
      <c r="E286" s="10"/>
      <c r="F286" s="10"/>
      <c r="G286" s="10"/>
      <c r="H286" s="10"/>
      <c r="I286" s="10"/>
      <c r="J286" s="10"/>
      <c r="K286" s="79"/>
      <c r="L286" s="79"/>
    </row>
    <row r="287" spans="1:12">
      <c r="A287" s="10"/>
      <c r="B287" s="10"/>
      <c r="C287" s="10"/>
      <c r="D287" s="10"/>
      <c r="E287" s="10"/>
      <c r="F287" s="10"/>
      <c r="G287" s="10"/>
      <c r="H287" s="10"/>
      <c r="I287" s="10"/>
      <c r="J287" s="10"/>
      <c r="K287" s="79"/>
      <c r="L287" s="79"/>
    </row>
    <row r="288" spans="1:12">
      <c r="A288" s="10"/>
      <c r="B288" s="10"/>
      <c r="C288" s="10"/>
      <c r="D288" s="10"/>
      <c r="E288" s="10"/>
      <c r="F288" s="10"/>
      <c r="G288" s="10"/>
      <c r="H288" s="10"/>
      <c r="I288" s="10"/>
      <c r="J288" s="10"/>
      <c r="K288" s="79"/>
      <c r="L288" s="79"/>
    </row>
    <row r="289" spans="1:20">
      <c r="A289" s="84" t="s">
        <v>329</v>
      </c>
      <c r="B289" s="80"/>
      <c r="C289" s="80"/>
      <c r="D289" s="163"/>
      <c r="E289" s="163">
        <f>'5.Closing Stock &amp; W Capital'!F7</f>
        <v>0</v>
      </c>
      <c r="F289" s="163">
        <f>'5.Closing Stock &amp; W Capital'!G7</f>
        <v>0</v>
      </c>
      <c r="G289" s="163">
        <f>'5.Closing Stock &amp; W Capital'!H7</f>
        <v>0</v>
      </c>
      <c r="H289" s="163">
        <f>'5.Closing Stock &amp; W Capital'!I7</f>
        <v>0</v>
      </c>
      <c r="I289" s="163">
        <f>'5.Closing Stock &amp; W Capital'!J7</f>
        <v>0</v>
      </c>
      <c r="J289" s="163">
        <f>'5.Closing Stock &amp; W Capital'!K7</f>
        <v>0</v>
      </c>
      <c r="K289" s="79"/>
      <c r="L289" s="79"/>
    </row>
    <row r="290" spans="1:20">
      <c r="A290" s="84" t="s">
        <v>330</v>
      </c>
      <c r="B290" s="80"/>
      <c r="C290" s="163"/>
      <c r="D290" s="163">
        <f>'5.Closing Stock &amp; W Capital'!E16</f>
        <v>0</v>
      </c>
      <c r="E290" s="163">
        <f>'5.Closing Stock &amp; W Capital'!F16</f>
        <v>0</v>
      </c>
      <c r="F290" s="163">
        <f>'5.Closing Stock &amp; W Capital'!G16</f>
        <v>0</v>
      </c>
      <c r="G290" s="163">
        <f>'5.Closing Stock &amp; W Capital'!H16</f>
        <v>0</v>
      </c>
      <c r="H290" s="163">
        <f>'5.Closing Stock &amp; W Capital'!I16</f>
        <v>0</v>
      </c>
      <c r="I290" s="163">
        <f>'5.Closing Stock &amp; W Capital'!J16</f>
        <v>0</v>
      </c>
      <c r="J290" s="163">
        <f>'5.Closing Stock &amp; W Capital'!K16</f>
        <v>0</v>
      </c>
      <c r="K290" s="79"/>
      <c r="L290" s="79"/>
    </row>
    <row r="291" spans="1:20">
      <c r="A291" s="84"/>
      <c r="B291" s="80"/>
      <c r="C291" s="166"/>
      <c r="D291" s="163"/>
      <c r="E291" s="163"/>
      <c r="F291" s="163"/>
      <c r="G291" s="163"/>
      <c r="H291" s="163"/>
      <c r="I291" s="163"/>
      <c r="J291" s="163"/>
      <c r="K291" s="79"/>
      <c r="L291" s="79"/>
      <c r="M291" s="79"/>
      <c r="N291" s="79"/>
      <c r="O291" s="79"/>
      <c r="P291" s="79"/>
      <c r="Q291" s="79"/>
      <c r="R291" s="79"/>
      <c r="S291" s="79"/>
      <c r="T291" s="79"/>
    </row>
    <row r="292" spans="1:20">
      <c r="A292" s="82" t="s">
        <v>308</v>
      </c>
      <c r="B292" s="82"/>
      <c r="C292" s="82"/>
      <c r="D292" s="98" t="e">
        <f t="shared" ref="D292:J292" si="68">SUM(D233:D289)-D290</f>
        <v>#VALUE!</v>
      </c>
      <c r="E292" s="98" t="e">
        <f t="shared" si="68"/>
        <v>#VALUE!</v>
      </c>
      <c r="F292" s="98" t="e">
        <f t="shared" si="68"/>
        <v>#VALUE!</v>
      </c>
      <c r="G292" s="98" t="e">
        <f t="shared" si="68"/>
        <v>#VALUE!</v>
      </c>
      <c r="H292" s="98" t="e">
        <f t="shared" si="68"/>
        <v>#VALUE!</v>
      </c>
      <c r="I292" s="98" t="e">
        <f t="shared" si="68"/>
        <v>#VALUE!</v>
      </c>
      <c r="J292" s="98" t="e">
        <f t="shared" si="68"/>
        <v>#VALUE!</v>
      </c>
      <c r="K292" s="79"/>
      <c r="L292" s="79"/>
      <c r="M292" s="79"/>
      <c r="N292" s="79"/>
      <c r="O292" s="79"/>
      <c r="P292" s="79"/>
      <c r="Q292" s="79"/>
      <c r="R292" s="79"/>
      <c r="S292" s="79"/>
      <c r="T292" s="79"/>
    </row>
    <row r="293" spans="1:20">
      <c r="A293" s="82" t="s">
        <v>299</v>
      </c>
      <c r="B293" s="80"/>
      <c r="C293" s="80"/>
      <c r="D293" s="93"/>
      <c r="E293" s="93"/>
      <c r="F293" s="93"/>
      <c r="G293" s="93"/>
      <c r="H293" s="93"/>
      <c r="I293" s="80"/>
      <c r="J293" s="80"/>
      <c r="K293" s="79"/>
      <c r="L293" s="79"/>
      <c r="M293" s="79"/>
      <c r="N293" s="79"/>
      <c r="O293" s="79"/>
      <c r="P293" s="79"/>
      <c r="Q293" s="79"/>
      <c r="R293" s="79"/>
      <c r="S293" s="79"/>
      <c r="T293" s="79"/>
    </row>
    <row r="294" spans="1:20">
      <c r="A294" s="80" t="s">
        <v>182</v>
      </c>
      <c r="B294" s="191">
        <v>1</v>
      </c>
      <c r="C294" s="214"/>
      <c r="D294" s="81">
        <f t="shared" ref="D294:J294" si="69">$B$294*$C$294*12*D172</f>
        <v>0</v>
      </c>
      <c r="E294" s="81">
        <f t="shared" si="69"/>
        <v>0</v>
      </c>
      <c r="F294" s="81">
        <f t="shared" si="69"/>
        <v>0</v>
      </c>
      <c r="G294" s="81">
        <f t="shared" si="69"/>
        <v>0</v>
      </c>
      <c r="H294" s="81">
        <f t="shared" si="69"/>
        <v>0</v>
      </c>
      <c r="I294" s="81">
        <f t="shared" si="69"/>
        <v>0</v>
      </c>
      <c r="J294" s="81">
        <f t="shared" si="69"/>
        <v>0</v>
      </c>
      <c r="K294" s="79"/>
      <c r="L294" s="79"/>
      <c r="M294" s="79"/>
      <c r="N294" s="79"/>
      <c r="O294" s="79"/>
      <c r="P294" s="79"/>
      <c r="Q294" s="79"/>
      <c r="R294" s="79"/>
      <c r="S294" s="79"/>
      <c r="T294" s="79"/>
    </row>
    <row r="295" spans="1:20">
      <c r="A295" s="80"/>
      <c r="B295" s="191"/>
      <c r="C295" s="214"/>
      <c r="D295" s="81"/>
      <c r="E295" s="81"/>
      <c r="F295" s="81"/>
      <c r="G295" s="81"/>
      <c r="H295" s="81"/>
      <c r="I295" s="81"/>
      <c r="J295" s="81"/>
      <c r="K295" s="79"/>
      <c r="L295" s="79"/>
      <c r="M295" s="79"/>
      <c r="N295" s="167"/>
      <c r="O295" s="79"/>
      <c r="P295" s="79"/>
      <c r="Q295" s="79"/>
      <c r="R295" s="79"/>
      <c r="S295" s="79"/>
      <c r="T295" s="79"/>
    </row>
    <row r="296" spans="1:20">
      <c r="A296" s="80"/>
      <c r="B296" s="191"/>
      <c r="C296" s="214"/>
      <c r="D296" s="81"/>
      <c r="E296" s="81"/>
      <c r="F296" s="81"/>
      <c r="G296" s="81"/>
      <c r="H296" s="81"/>
      <c r="I296" s="81"/>
      <c r="J296" s="81"/>
      <c r="K296" s="79"/>
      <c r="L296" s="79"/>
      <c r="M296" s="79"/>
      <c r="N296" s="79"/>
      <c r="O296" s="79"/>
      <c r="P296" s="79"/>
      <c r="Q296" s="79"/>
      <c r="R296" s="79"/>
      <c r="S296" s="79"/>
      <c r="T296" s="79"/>
    </row>
    <row r="297" spans="1:20">
      <c r="A297" s="80"/>
      <c r="B297" s="191"/>
      <c r="C297" s="214"/>
      <c r="D297" s="81"/>
      <c r="E297" s="81"/>
      <c r="F297" s="81"/>
      <c r="G297" s="81"/>
      <c r="H297" s="81"/>
      <c r="I297" s="81"/>
      <c r="J297" s="81"/>
      <c r="K297" s="79"/>
      <c r="L297" s="79"/>
      <c r="M297" s="79"/>
      <c r="N297" s="79"/>
      <c r="O297" s="79"/>
      <c r="P297" s="79"/>
      <c r="Q297" s="79"/>
      <c r="R297" s="79"/>
      <c r="S297" s="79"/>
      <c r="T297" s="79"/>
    </row>
    <row r="298" spans="1:20">
      <c r="A298" s="80"/>
      <c r="B298" s="191"/>
      <c r="C298" s="214"/>
      <c r="D298" s="81"/>
      <c r="E298" s="81"/>
      <c r="F298" s="81"/>
      <c r="G298" s="81"/>
      <c r="H298" s="81"/>
      <c r="I298" s="81"/>
      <c r="J298" s="81"/>
      <c r="K298" s="79"/>
      <c r="L298" s="79"/>
      <c r="M298" s="79"/>
      <c r="N298" s="79"/>
      <c r="O298" s="79"/>
      <c r="P298" s="79"/>
      <c r="Q298" s="79"/>
      <c r="R298" s="79"/>
      <c r="S298" s="79"/>
      <c r="T298" s="79"/>
    </row>
    <row r="299" spans="1:20">
      <c r="A299" s="80"/>
      <c r="B299" s="191"/>
      <c r="C299" s="214"/>
      <c r="D299" s="81"/>
      <c r="E299" s="81"/>
      <c r="F299" s="81"/>
      <c r="G299" s="81"/>
      <c r="H299" s="81"/>
      <c r="I299" s="81"/>
      <c r="J299" s="81"/>
      <c r="K299" s="79"/>
      <c r="L299" s="79"/>
      <c r="M299" s="79"/>
      <c r="N299" s="79"/>
      <c r="O299" s="79"/>
      <c r="P299" s="79"/>
      <c r="Q299" s="79"/>
      <c r="R299" s="79"/>
      <c r="S299" s="79"/>
      <c r="T299" s="79"/>
    </row>
    <row r="300" spans="1:20">
      <c r="A300" s="80"/>
      <c r="B300" s="191"/>
      <c r="C300" s="214"/>
      <c r="D300" s="81"/>
      <c r="E300" s="81"/>
      <c r="F300" s="81"/>
      <c r="G300" s="81"/>
      <c r="H300" s="81"/>
      <c r="I300" s="81"/>
      <c r="J300" s="81"/>
      <c r="K300" s="79"/>
      <c r="L300" s="79"/>
      <c r="M300" s="79"/>
      <c r="N300" s="79"/>
      <c r="O300" s="79"/>
      <c r="P300" s="79"/>
      <c r="Q300" s="79"/>
      <c r="R300" s="79"/>
      <c r="S300" s="79"/>
      <c r="T300" s="79"/>
    </row>
    <row r="301" spans="1:20">
      <c r="A301" s="82" t="s">
        <v>312</v>
      </c>
      <c r="B301" s="196"/>
      <c r="C301" s="196"/>
      <c r="D301" s="98">
        <f t="shared" ref="D301:J301" si="70">SUM(D294:D300)</f>
        <v>0</v>
      </c>
      <c r="E301" s="98">
        <f t="shared" si="70"/>
        <v>0</v>
      </c>
      <c r="F301" s="98">
        <f t="shared" si="70"/>
        <v>0</v>
      </c>
      <c r="G301" s="98">
        <f t="shared" si="70"/>
        <v>0</v>
      </c>
      <c r="H301" s="98">
        <f t="shared" si="70"/>
        <v>0</v>
      </c>
      <c r="I301" s="98">
        <f t="shared" si="70"/>
        <v>0</v>
      </c>
      <c r="J301" s="98">
        <f t="shared" si="70"/>
        <v>0</v>
      </c>
      <c r="K301" s="79"/>
      <c r="L301" s="79"/>
      <c r="M301" s="79"/>
      <c r="N301" s="167"/>
      <c r="O301" s="79"/>
      <c r="P301" s="79"/>
      <c r="Q301" s="79"/>
      <c r="R301" s="79"/>
      <c r="S301" s="79"/>
      <c r="T301" s="79"/>
    </row>
    <row r="302" spans="1:20">
      <c r="A302" s="82" t="s">
        <v>127</v>
      </c>
      <c r="B302" s="82"/>
      <c r="C302" s="82"/>
      <c r="D302" s="98" t="e">
        <f t="shared" ref="D302:J302" si="71">D292+D301</f>
        <v>#VALUE!</v>
      </c>
      <c r="E302" s="98" t="e">
        <f t="shared" si="71"/>
        <v>#VALUE!</v>
      </c>
      <c r="F302" s="98" t="e">
        <f t="shared" si="71"/>
        <v>#VALUE!</v>
      </c>
      <c r="G302" s="98" t="e">
        <f t="shared" si="71"/>
        <v>#VALUE!</v>
      </c>
      <c r="H302" s="98" t="e">
        <f t="shared" si="71"/>
        <v>#VALUE!</v>
      </c>
      <c r="I302" s="98" t="e">
        <f t="shared" si="71"/>
        <v>#VALUE!</v>
      </c>
      <c r="J302" s="98" t="e">
        <f t="shared" si="71"/>
        <v>#VALUE!</v>
      </c>
      <c r="K302" s="79"/>
      <c r="L302" s="79"/>
      <c r="M302" s="79"/>
      <c r="N302" s="79"/>
      <c r="O302" s="79"/>
      <c r="P302" s="79"/>
      <c r="Q302" s="79"/>
      <c r="R302" s="79"/>
      <c r="S302" s="79"/>
      <c r="T302" s="79"/>
    </row>
    <row r="303" spans="1:20">
      <c r="A303" s="80"/>
      <c r="B303" s="80"/>
      <c r="C303" s="80"/>
      <c r="D303" s="93"/>
      <c r="E303" s="93"/>
      <c r="F303" s="93"/>
      <c r="G303" s="93"/>
      <c r="H303" s="93"/>
      <c r="I303" s="80"/>
      <c r="J303" s="80"/>
      <c r="K303" s="79"/>
      <c r="L303" s="79"/>
      <c r="M303" s="79"/>
      <c r="N303" s="79"/>
      <c r="O303" s="79"/>
      <c r="P303" s="79"/>
      <c r="Q303" s="79"/>
      <c r="R303" s="79"/>
      <c r="S303" s="79"/>
      <c r="T303" s="79"/>
    </row>
    <row r="304" spans="1:20">
      <c r="A304" s="82"/>
      <c r="B304" s="82"/>
      <c r="C304" s="82"/>
      <c r="D304" s="93"/>
      <c r="E304" s="93"/>
      <c r="F304" s="93"/>
      <c r="G304" s="93"/>
      <c r="H304" s="93"/>
      <c r="I304" s="80"/>
      <c r="J304" s="80"/>
      <c r="K304" s="79"/>
      <c r="L304" s="79"/>
      <c r="M304" s="79"/>
      <c r="N304" s="79"/>
      <c r="O304" s="79"/>
      <c r="P304" s="79"/>
      <c r="Q304" s="79"/>
      <c r="R304" s="79"/>
      <c r="S304" s="79"/>
      <c r="T304" s="79"/>
    </row>
    <row r="305" spans="1:20">
      <c r="A305" s="82" t="s">
        <v>304</v>
      </c>
      <c r="B305" s="82"/>
      <c r="C305" s="82"/>
      <c r="D305" s="98" t="e">
        <f t="shared" ref="D305:J305" si="72">D229-D302</f>
        <v>#VALUE!</v>
      </c>
      <c r="E305" s="98" t="e">
        <f t="shared" si="72"/>
        <v>#VALUE!</v>
      </c>
      <c r="F305" s="98" t="e">
        <f t="shared" si="72"/>
        <v>#VALUE!</v>
      </c>
      <c r="G305" s="98" t="e">
        <f t="shared" si="72"/>
        <v>#VALUE!</v>
      </c>
      <c r="H305" s="98" t="e">
        <f t="shared" si="72"/>
        <v>#VALUE!</v>
      </c>
      <c r="I305" s="98" t="e">
        <f t="shared" si="72"/>
        <v>#VALUE!</v>
      </c>
      <c r="J305" s="98" t="e">
        <f t="shared" si="72"/>
        <v>#VALUE!</v>
      </c>
      <c r="K305" s="79"/>
      <c r="L305" s="79"/>
      <c r="M305" s="79"/>
      <c r="N305" s="79"/>
      <c r="O305" s="79"/>
      <c r="P305" s="79"/>
      <c r="Q305" s="79"/>
      <c r="R305" s="79"/>
      <c r="S305" s="79"/>
      <c r="T305" s="79"/>
    </row>
    <row r="306" spans="1:20">
      <c r="A306" s="79"/>
      <c r="B306" s="79"/>
      <c r="C306" s="79"/>
      <c r="D306" s="79"/>
      <c r="E306" s="79"/>
      <c r="F306" s="79"/>
      <c r="G306" s="79"/>
      <c r="H306" s="79"/>
      <c r="I306" s="79"/>
      <c r="J306" s="79"/>
    </row>
    <row r="307" spans="1:20">
      <c r="A307" s="79" t="s">
        <v>48</v>
      </c>
      <c r="B307" s="79"/>
      <c r="C307" s="79"/>
      <c r="D307" s="79"/>
      <c r="E307" s="79"/>
      <c r="F307" s="79"/>
      <c r="G307" s="79"/>
      <c r="H307" s="79"/>
      <c r="I307" s="79"/>
      <c r="J307" s="79"/>
    </row>
    <row r="308" spans="1:20">
      <c r="A308" s="704" t="s">
        <v>401</v>
      </c>
      <c r="B308" s="704"/>
      <c r="C308" s="704"/>
      <c r="D308" s="704"/>
      <c r="E308" s="704"/>
      <c r="F308" s="704"/>
      <c r="G308" s="704"/>
      <c r="H308" s="704"/>
      <c r="I308" s="704"/>
      <c r="J308" s="704"/>
    </row>
    <row r="310" spans="1:20">
      <c r="A310" t="s">
        <v>480</v>
      </c>
    </row>
    <row r="311" spans="1:20">
      <c r="A311">
        <v>1</v>
      </c>
      <c r="B311" t="s">
        <v>490</v>
      </c>
    </row>
    <row r="312" spans="1:20">
      <c r="A312">
        <v>2</v>
      </c>
      <c r="B312" t="s">
        <v>491</v>
      </c>
    </row>
    <row r="313" spans="1:20">
      <c r="A313">
        <v>3</v>
      </c>
      <c r="B313" s="79" t="s">
        <v>536</v>
      </c>
    </row>
  </sheetData>
  <mergeCells count="5">
    <mergeCell ref="A170:J170"/>
    <mergeCell ref="A2:H2"/>
    <mergeCell ref="A308:J308"/>
    <mergeCell ref="F4:H4"/>
    <mergeCell ref="A3:H3"/>
  </mergeCells>
  <pageMargins left="0.7" right="0.7" top="0.75" bottom="0.75" header="0.3" footer="0.3"/>
  <pageSetup paperSize="9" scale="45" orientation="portrait" r:id="rId1"/>
  <rowBreaks count="3" manualBreakCount="3">
    <brk id="61" max="9" man="1"/>
    <brk id="140" max="9" man="1"/>
    <brk id="238" max="9"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J197"/>
  <sheetViews>
    <sheetView view="pageBreakPreview" topLeftCell="A127" zoomScale="70" zoomScaleSheetLayoutView="70" workbookViewId="0">
      <selection activeCell="A131" sqref="A1:XFD1048576"/>
    </sheetView>
  </sheetViews>
  <sheetFormatPr defaultRowHeight="15"/>
  <cols>
    <col min="1" max="1" width="41.7109375" bestFit="1" customWidth="1"/>
    <col min="2" max="2" width="11.5703125" bestFit="1" customWidth="1"/>
    <col min="3" max="3" width="12.5703125" bestFit="1" customWidth="1"/>
    <col min="4" max="4" width="15.140625" customWidth="1"/>
    <col min="5" max="8" width="17.28515625" customWidth="1"/>
    <col min="9" max="10" width="16.85546875" bestFit="1" customWidth="1"/>
  </cols>
  <sheetData>
    <row r="3" spans="1:8" ht="18.75">
      <c r="A3" s="703" t="s">
        <v>533</v>
      </c>
      <c r="B3" s="703"/>
      <c r="C3" s="703"/>
      <c r="D3" s="703"/>
      <c r="E3" s="703"/>
      <c r="F3" s="703"/>
      <c r="G3" s="703"/>
      <c r="H3" s="703"/>
    </row>
    <row r="4" spans="1:8" ht="18.75">
      <c r="A4" s="703" t="s">
        <v>534</v>
      </c>
      <c r="B4" s="703"/>
      <c r="C4" s="703"/>
      <c r="D4" s="703"/>
      <c r="E4" s="703"/>
      <c r="F4" s="703"/>
      <c r="G4" s="703"/>
      <c r="H4" s="703"/>
    </row>
    <row r="5" spans="1:8">
      <c r="A5" s="79" t="s">
        <v>156</v>
      </c>
      <c r="B5" s="207">
        <v>1</v>
      </c>
      <c r="C5" s="79" t="s">
        <v>447</v>
      </c>
      <c r="D5" s="79"/>
      <c r="E5" s="79"/>
      <c r="F5" s="79"/>
      <c r="G5" s="79"/>
      <c r="H5" s="79"/>
    </row>
    <row r="6" spans="1:8">
      <c r="A6" s="79" t="s">
        <v>157</v>
      </c>
      <c r="B6" s="239">
        <v>8</v>
      </c>
      <c r="C6" s="79"/>
      <c r="D6" s="79"/>
      <c r="E6" s="79"/>
      <c r="F6" s="79"/>
      <c r="G6" s="79"/>
      <c r="H6" s="79"/>
    </row>
    <row r="7" spans="1:8">
      <c r="A7" s="79"/>
      <c r="B7" s="239"/>
      <c r="C7" s="79"/>
      <c r="D7" s="79"/>
      <c r="E7" s="79"/>
      <c r="F7" s="79"/>
      <c r="G7" s="79"/>
      <c r="H7" s="79"/>
    </row>
    <row r="8" spans="1:8">
      <c r="A8" s="79"/>
      <c r="B8" s="239"/>
      <c r="C8" s="79"/>
      <c r="D8" s="79"/>
      <c r="E8" s="79"/>
      <c r="F8" s="79"/>
      <c r="G8" s="79"/>
      <c r="H8" s="79"/>
    </row>
    <row r="9" spans="1:8">
      <c r="A9" s="79"/>
      <c r="B9" s="79"/>
      <c r="C9" s="79"/>
      <c r="D9" s="79"/>
      <c r="E9" s="79"/>
      <c r="F9" s="79"/>
      <c r="G9" s="79"/>
      <c r="H9" s="79"/>
    </row>
    <row r="10" spans="1:8">
      <c r="A10" s="79"/>
      <c r="B10" s="79"/>
      <c r="C10" s="79"/>
      <c r="D10" s="79"/>
      <c r="E10" s="79"/>
      <c r="F10" s="79"/>
      <c r="G10" s="79"/>
      <c r="H10" s="79"/>
    </row>
    <row r="11" spans="1:8">
      <c r="A11" s="69" t="s">
        <v>0</v>
      </c>
      <c r="B11" s="70" t="s">
        <v>2</v>
      </c>
      <c r="C11" s="70" t="s">
        <v>3</v>
      </c>
      <c r="D11" s="70" t="s">
        <v>4</v>
      </c>
      <c r="E11" s="70" t="s">
        <v>5</v>
      </c>
      <c r="F11" s="70" t="s">
        <v>6</v>
      </c>
      <c r="G11" s="70" t="s">
        <v>163</v>
      </c>
      <c r="H11" s="70" t="s">
        <v>162</v>
      </c>
    </row>
    <row r="12" spans="1:8">
      <c r="A12" s="80" t="s">
        <v>164</v>
      </c>
      <c r="B12" s="271">
        <v>0</v>
      </c>
      <c r="C12" s="271">
        <v>0</v>
      </c>
      <c r="D12" s="271">
        <v>0</v>
      </c>
      <c r="E12" s="271">
        <v>0</v>
      </c>
      <c r="F12" s="271">
        <v>0</v>
      </c>
      <c r="G12" s="271">
        <v>0</v>
      </c>
      <c r="H12" s="271">
        <v>0</v>
      </c>
    </row>
    <row r="13" spans="1:8">
      <c r="A13" s="80" t="s">
        <v>904</v>
      </c>
      <c r="B13" s="80">
        <v>0</v>
      </c>
      <c r="C13" s="80">
        <v>0</v>
      </c>
      <c r="D13" s="80">
        <v>0</v>
      </c>
      <c r="E13" s="80">
        <v>0</v>
      </c>
      <c r="F13" s="80">
        <v>0</v>
      </c>
      <c r="G13" s="80">
        <v>0</v>
      </c>
      <c r="H13" s="80">
        <v>0</v>
      </c>
    </row>
    <row r="14" spans="1:8">
      <c r="A14" s="80" t="s">
        <v>635</v>
      </c>
      <c r="B14" s="80">
        <v>0</v>
      </c>
      <c r="C14" s="80">
        <v>0</v>
      </c>
      <c r="D14" s="80">
        <v>0</v>
      </c>
      <c r="E14" s="80">
        <v>0</v>
      </c>
      <c r="F14" s="80">
        <v>0</v>
      </c>
      <c r="G14" s="80">
        <v>0</v>
      </c>
      <c r="H14" s="80">
        <v>0</v>
      </c>
    </row>
    <row r="15" spans="1:8">
      <c r="A15" s="80" t="s">
        <v>890</v>
      </c>
      <c r="B15" s="80">
        <v>0</v>
      </c>
      <c r="C15" s="80">
        <v>0</v>
      </c>
      <c r="D15" s="80">
        <v>0</v>
      </c>
      <c r="E15" s="80">
        <v>0</v>
      </c>
      <c r="F15" s="80">
        <v>0</v>
      </c>
      <c r="G15" s="80">
        <v>0</v>
      </c>
      <c r="H15" s="80">
        <v>0</v>
      </c>
    </row>
    <row r="16" spans="1:8">
      <c r="A16" s="80" t="s">
        <v>454</v>
      </c>
      <c r="B16" s="80">
        <v>0</v>
      </c>
      <c r="C16" s="80">
        <v>0</v>
      </c>
      <c r="D16" s="80">
        <v>0</v>
      </c>
      <c r="E16" s="80">
        <v>0</v>
      </c>
      <c r="F16" s="80">
        <v>0</v>
      </c>
      <c r="G16" s="80">
        <v>0</v>
      </c>
      <c r="H16" s="80">
        <v>0</v>
      </c>
    </row>
    <row r="17" spans="1:8">
      <c r="A17" s="80" t="s">
        <v>905</v>
      </c>
      <c r="B17" s="80">
        <v>0</v>
      </c>
      <c r="C17" s="80">
        <v>0</v>
      </c>
      <c r="D17" s="80">
        <v>0</v>
      </c>
      <c r="E17" s="80">
        <v>0</v>
      </c>
      <c r="F17" s="80">
        <v>0</v>
      </c>
      <c r="G17" s="80">
        <v>0</v>
      </c>
      <c r="H17" s="80">
        <v>0</v>
      </c>
    </row>
    <row r="18" spans="1:8">
      <c r="A18" s="80">
        <v>0</v>
      </c>
      <c r="B18" s="80">
        <v>0</v>
      </c>
      <c r="C18" s="80">
        <v>0</v>
      </c>
      <c r="D18" s="80">
        <v>0</v>
      </c>
      <c r="E18" s="80">
        <v>0</v>
      </c>
      <c r="F18" s="80">
        <v>0</v>
      </c>
      <c r="G18" s="80">
        <v>0</v>
      </c>
      <c r="H18" s="80">
        <v>0</v>
      </c>
    </row>
    <row r="19" spans="1:8">
      <c r="A19" s="80">
        <v>0</v>
      </c>
      <c r="B19" s="80">
        <v>0</v>
      </c>
      <c r="C19" s="80">
        <v>0</v>
      </c>
      <c r="D19" s="80">
        <v>0</v>
      </c>
      <c r="E19" s="80">
        <v>0</v>
      </c>
      <c r="F19" s="80">
        <v>0</v>
      </c>
      <c r="G19" s="80">
        <v>0</v>
      </c>
      <c r="H19" s="80">
        <v>0</v>
      </c>
    </row>
    <row r="20" spans="1:8">
      <c r="A20" s="80">
        <v>0</v>
      </c>
      <c r="B20" s="80">
        <v>0</v>
      </c>
      <c r="C20" s="80">
        <v>0</v>
      </c>
      <c r="D20" s="80">
        <v>0</v>
      </c>
      <c r="E20" s="80">
        <v>0</v>
      </c>
      <c r="F20" s="80">
        <v>0</v>
      </c>
      <c r="G20" s="80">
        <v>0</v>
      </c>
      <c r="H20" s="80">
        <v>0</v>
      </c>
    </row>
    <row r="21" spans="1:8">
      <c r="A21" s="80">
        <v>0</v>
      </c>
      <c r="B21" s="80">
        <v>0</v>
      </c>
      <c r="C21" s="80">
        <v>0</v>
      </c>
      <c r="D21" s="80">
        <v>0</v>
      </c>
      <c r="E21" s="80">
        <v>0</v>
      </c>
      <c r="F21" s="80">
        <v>0</v>
      </c>
      <c r="G21" s="80">
        <v>0</v>
      </c>
      <c r="H21" s="80">
        <v>0</v>
      </c>
    </row>
    <row r="22" spans="1:8">
      <c r="A22" s="80" t="s">
        <v>904</v>
      </c>
      <c r="B22" s="80">
        <v>0</v>
      </c>
      <c r="C22" s="80">
        <v>0</v>
      </c>
      <c r="D22" s="80">
        <v>0</v>
      </c>
      <c r="E22" s="80">
        <v>0</v>
      </c>
      <c r="F22" s="80">
        <v>0</v>
      </c>
      <c r="G22" s="80">
        <v>0</v>
      </c>
      <c r="H22" s="80">
        <v>0</v>
      </c>
    </row>
    <row r="23" spans="1:8">
      <c r="A23" s="80" t="s">
        <v>635</v>
      </c>
      <c r="B23" s="80">
        <v>0</v>
      </c>
      <c r="C23" s="80">
        <v>0</v>
      </c>
      <c r="D23" s="80">
        <v>0</v>
      </c>
      <c r="E23" s="80">
        <v>0</v>
      </c>
      <c r="F23" s="80">
        <v>0</v>
      </c>
      <c r="G23" s="80">
        <v>0</v>
      </c>
      <c r="H23" s="80">
        <v>0</v>
      </c>
    </row>
    <row r="24" spans="1:8">
      <c r="A24" s="80" t="s">
        <v>890</v>
      </c>
      <c r="B24" s="80">
        <v>0</v>
      </c>
      <c r="C24" s="80">
        <v>0</v>
      </c>
      <c r="D24" s="80">
        <v>0</v>
      </c>
      <c r="E24" s="80">
        <v>0</v>
      </c>
      <c r="F24" s="80">
        <v>0</v>
      </c>
      <c r="G24" s="80">
        <v>0</v>
      </c>
      <c r="H24" s="80">
        <v>0</v>
      </c>
    </row>
    <row r="25" spans="1:8">
      <c r="A25" s="80" t="s">
        <v>454</v>
      </c>
      <c r="B25" s="80">
        <v>0</v>
      </c>
      <c r="C25" s="80">
        <v>0</v>
      </c>
      <c r="D25" s="80">
        <v>0</v>
      </c>
      <c r="E25" s="80">
        <v>0</v>
      </c>
      <c r="F25" s="80">
        <v>0</v>
      </c>
      <c r="G25" s="80">
        <v>0</v>
      </c>
      <c r="H25" s="80">
        <v>0</v>
      </c>
    </row>
    <row r="26" spans="1:8">
      <c r="A26" s="80" t="s">
        <v>906</v>
      </c>
      <c r="B26" s="80">
        <v>0</v>
      </c>
      <c r="C26" s="80">
        <v>0</v>
      </c>
      <c r="D26" s="80">
        <v>0</v>
      </c>
      <c r="E26" s="80">
        <v>0</v>
      </c>
      <c r="F26" s="80">
        <v>0</v>
      </c>
      <c r="G26" s="80">
        <v>0</v>
      </c>
      <c r="H26" s="80">
        <v>0</v>
      </c>
    </row>
    <row r="27" spans="1:8">
      <c r="A27" s="80">
        <v>0</v>
      </c>
      <c r="B27" s="80">
        <v>0</v>
      </c>
      <c r="C27" s="80">
        <v>0</v>
      </c>
      <c r="D27" s="80">
        <v>0</v>
      </c>
      <c r="E27" s="80">
        <v>0</v>
      </c>
      <c r="F27" s="80">
        <v>0</v>
      </c>
      <c r="G27" s="80">
        <v>0</v>
      </c>
      <c r="H27" s="80">
        <v>0</v>
      </c>
    </row>
    <row r="28" spans="1:8">
      <c r="A28" s="80">
        <v>0</v>
      </c>
      <c r="B28" s="80">
        <v>0</v>
      </c>
      <c r="C28" s="80">
        <v>0</v>
      </c>
      <c r="D28" s="80">
        <v>0</v>
      </c>
      <c r="E28" s="80">
        <v>0</v>
      </c>
      <c r="F28" s="80">
        <v>0</v>
      </c>
      <c r="G28" s="80">
        <v>0</v>
      </c>
      <c r="H28" s="80">
        <v>0</v>
      </c>
    </row>
    <row r="29" spans="1:8">
      <c r="A29" s="80">
        <v>0</v>
      </c>
      <c r="B29" s="80">
        <v>0</v>
      </c>
      <c r="C29" s="80">
        <v>0</v>
      </c>
      <c r="D29" s="80">
        <v>0</v>
      </c>
      <c r="E29" s="80">
        <v>0</v>
      </c>
      <c r="F29" s="80">
        <v>0</v>
      </c>
      <c r="G29" s="80">
        <v>0</v>
      </c>
      <c r="H29" s="80">
        <v>0</v>
      </c>
    </row>
    <row r="30" spans="1:8">
      <c r="A30" s="80">
        <v>0</v>
      </c>
      <c r="B30" s="80">
        <v>0</v>
      </c>
      <c r="C30" s="80">
        <v>0</v>
      </c>
      <c r="D30" s="80">
        <v>0</v>
      </c>
      <c r="E30" s="80">
        <v>0</v>
      </c>
      <c r="F30" s="80">
        <v>0</v>
      </c>
      <c r="G30" s="80">
        <v>0</v>
      </c>
      <c r="H30" s="80">
        <v>0</v>
      </c>
    </row>
    <row r="31" spans="1:8">
      <c r="A31" s="80">
        <v>0</v>
      </c>
      <c r="B31" s="80">
        <v>0</v>
      </c>
      <c r="C31" s="80">
        <v>0</v>
      </c>
      <c r="D31" s="80">
        <v>0</v>
      </c>
      <c r="E31" s="80">
        <v>0</v>
      </c>
      <c r="F31" s="80">
        <v>0</v>
      </c>
      <c r="G31" s="80">
        <v>0</v>
      </c>
      <c r="H31" s="80">
        <v>0</v>
      </c>
    </row>
    <row r="32" spans="1:8">
      <c r="A32" s="80">
        <v>0</v>
      </c>
      <c r="B32" s="80">
        <v>0</v>
      </c>
      <c r="C32" s="80">
        <v>0</v>
      </c>
      <c r="D32" s="80">
        <v>0</v>
      </c>
      <c r="E32" s="80">
        <v>0</v>
      </c>
      <c r="F32" s="80">
        <v>0</v>
      </c>
      <c r="G32" s="80">
        <v>0</v>
      </c>
      <c r="H32" s="80">
        <v>0</v>
      </c>
    </row>
    <row r="33" spans="1:8">
      <c r="A33" s="80">
        <v>0</v>
      </c>
      <c r="B33" s="80">
        <v>0</v>
      </c>
      <c r="C33" s="80">
        <v>0</v>
      </c>
      <c r="D33" s="80">
        <v>0</v>
      </c>
      <c r="E33" s="80">
        <v>0</v>
      </c>
      <c r="F33" s="80">
        <v>0</v>
      </c>
      <c r="G33" s="80">
        <v>0</v>
      </c>
      <c r="H33" s="80">
        <v>0</v>
      </c>
    </row>
    <row r="34" spans="1:8">
      <c r="A34" s="80" t="s">
        <v>455</v>
      </c>
      <c r="B34" s="80">
        <v>0</v>
      </c>
      <c r="C34" s="80">
        <v>0</v>
      </c>
      <c r="D34" s="80">
        <v>0</v>
      </c>
      <c r="E34" s="80">
        <v>0</v>
      </c>
      <c r="F34" s="80">
        <v>0</v>
      </c>
      <c r="G34" s="80">
        <v>0</v>
      </c>
      <c r="H34" s="80">
        <v>0</v>
      </c>
    </row>
    <row r="35" spans="1:8">
      <c r="A35" s="80" t="s">
        <v>907</v>
      </c>
      <c r="B35" s="80">
        <v>0</v>
      </c>
      <c r="C35" s="80">
        <v>0</v>
      </c>
      <c r="D35" s="80">
        <v>0</v>
      </c>
      <c r="E35" s="80">
        <v>0</v>
      </c>
      <c r="F35" s="80">
        <v>0</v>
      </c>
      <c r="G35" s="80">
        <v>0</v>
      </c>
      <c r="H35" s="80">
        <v>0</v>
      </c>
    </row>
    <row r="36" spans="1:8">
      <c r="A36" s="80" t="s">
        <v>908</v>
      </c>
      <c r="B36" s="80">
        <v>0</v>
      </c>
      <c r="C36" s="80">
        <v>0</v>
      </c>
      <c r="D36" s="80">
        <v>0</v>
      </c>
      <c r="E36" s="80">
        <v>0</v>
      </c>
      <c r="F36" s="80">
        <v>0</v>
      </c>
      <c r="G36" s="80">
        <v>0</v>
      </c>
      <c r="H36" s="80">
        <v>0</v>
      </c>
    </row>
    <row r="37" spans="1:8">
      <c r="A37" s="80" t="s">
        <v>909</v>
      </c>
      <c r="B37" s="80">
        <v>0</v>
      </c>
      <c r="C37" s="80">
        <v>0</v>
      </c>
      <c r="D37" s="80">
        <v>0</v>
      </c>
      <c r="E37" s="80">
        <v>0</v>
      </c>
      <c r="F37" s="80">
        <v>0</v>
      </c>
      <c r="G37" s="80">
        <v>0</v>
      </c>
      <c r="H37" s="80">
        <v>0</v>
      </c>
    </row>
    <row r="38" spans="1:8">
      <c r="A38" s="80"/>
      <c r="B38" s="80"/>
      <c r="C38" s="80"/>
      <c r="D38" s="80"/>
      <c r="E38" s="80"/>
      <c r="F38" s="80"/>
      <c r="G38" s="80"/>
      <c r="H38" s="80"/>
    </row>
    <row r="39" spans="1:8">
      <c r="A39" s="80" t="s">
        <v>440</v>
      </c>
      <c r="B39" s="80">
        <v>0</v>
      </c>
      <c r="C39" s="80">
        <v>0</v>
      </c>
      <c r="D39" s="80">
        <v>0</v>
      </c>
      <c r="E39" s="80">
        <v>0</v>
      </c>
      <c r="F39" s="80">
        <v>0</v>
      </c>
      <c r="G39" s="80">
        <v>0</v>
      </c>
      <c r="H39" s="80">
        <v>0</v>
      </c>
    </row>
    <row r="40" spans="1:8">
      <c r="A40" s="279" t="s">
        <v>160</v>
      </c>
      <c r="B40" s="238">
        <v>0</v>
      </c>
      <c r="C40" s="238">
        <v>0</v>
      </c>
      <c r="D40" s="238">
        <v>0</v>
      </c>
      <c r="E40" s="238">
        <v>0</v>
      </c>
      <c r="F40" s="238">
        <v>0</v>
      </c>
      <c r="G40" s="238">
        <v>0</v>
      </c>
      <c r="H40" s="238">
        <v>0</v>
      </c>
    </row>
    <row r="41" spans="1:8">
      <c r="A41" s="84" t="s">
        <v>448</v>
      </c>
      <c r="B41" s="280">
        <v>1</v>
      </c>
      <c r="C41" s="280">
        <v>1</v>
      </c>
      <c r="D41" s="280">
        <v>1</v>
      </c>
      <c r="E41" s="280">
        <v>1</v>
      </c>
      <c r="F41" s="280">
        <v>1</v>
      </c>
      <c r="G41" s="280">
        <v>1</v>
      </c>
      <c r="H41" s="280">
        <v>1</v>
      </c>
    </row>
    <row r="42" spans="1:8">
      <c r="A42" s="82" t="s">
        <v>160</v>
      </c>
      <c r="B42" s="218">
        <v>0</v>
      </c>
      <c r="C42" s="218">
        <v>0</v>
      </c>
      <c r="D42" s="218">
        <v>0</v>
      </c>
      <c r="E42" s="218">
        <v>0</v>
      </c>
      <c r="F42" s="218">
        <v>0</v>
      </c>
      <c r="G42" s="218">
        <v>0</v>
      </c>
      <c r="H42" s="218">
        <v>0</v>
      </c>
    </row>
    <row r="43" spans="1:8">
      <c r="A43" s="82" t="s">
        <v>161</v>
      </c>
      <c r="B43" s="98"/>
      <c r="C43" s="98"/>
      <c r="D43" s="98"/>
      <c r="E43" s="98"/>
      <c r="F43" s="98"/>
      <c r="G43" s="98"/>
      <c r="H43" s="98"/>
    </row>
    <row r="44" spans="1:8">
      <c r="A44" s="80" t="s">
        <v>904</v>
      </c>
      <c r="B44" s="81">
        <v>0</v>
      </c>
      <c r="C44" s="81">
        <v>0</v>
      </c>
      <c r="D44" s="81">
        <v>0</v>
      </c>
      <c r="E44" s="81">
        <v>0</v>
      </c>
      <c r="F44" s="81">
        <v>0</v>
      </c>
      <c r="G44" s="81">
        <v>0</v>
      </c>
      <c r="H44" s="81">
        <v>0</v>
      </c>
    </row>
    <row r="45" spans="1:8">
      <c r="A45" s="80" t="s">
        <v>635</v>
      </c>
      <c r="B45" s="81">
        <v>0</v>
      </c>
      <c r="C45" s="81">
        <v>0</v>
      </c>
      <c r="D45" s="81">
        <v>0</v>
      </c>
      <c r="E45" s="81">
        <v>0</v>
      </c>
      <c r="F45" s="81">
        <v>0</v>
      </c>
      <c r="G45" s="81">
        <v>0</v>
      </c>
      <c r="H45" s="81">
        <v>0</v>
      </c>
    </row>
    <row r="46" spans="1:8">
      <c r="A46" s="80" t="s">
        <v>890</v>
      </c>
      <c r="B46" s="81">
        <v>0</v>
      </c>
      <c r="C46" s="81">
        <v>0</v>
      </c>
      <c r="D46" s="81">
        <v>0</v>
      </c>
      <c r="E46" s="81">
        <v>0</v>
      </c>
      <c r="F46" s="81">
        <v>0</v>
      </c>
      <c r="G46" s="81">
        <v>0</v>
      </c>
      <c r="H46" s="81">
        <v>0</v>
      </c>
    </row>
    <row r="47" spans="1:8">
      <c r="A47" s="80" t="s">
        <v>454</v>
      </c>
      <c r="B47" s="81">
        <v>0</v>
      </c>
      <c r="C47" s="81">
        <v>0</v>
      </c>
      <c r="D47" s="81">
        <v>0</v>
      </c>
      <c r="E47" s="81">
        <v>0</v>
      </c>
      <c r="F47" s="81">
        <v>0</v>
      </c>
      <c r="G47" s="81">
        <v>0</v>
      </c>
      <c r="H47" s="81">
        <v>0</v>
      </c>
    </row>
    <row r="48" spans="1:8">
      <c r="A48" s="80" t="s">
        <v>905</v>
      </c>
      <c r="B48" s="81">
        <v>0</v>
      </c>
      <c r="C48" s="81">
        <v>0</v>
      </c>
      <c r="D48" s="81">
        <v>0</v>
      </c>
      <c r="E48" s="81">
        <v>0</v>
      </c>
      <c r="F48" s="81">
        <v>0</v>
      </c>
      <c r="G48" s="81">
        <v>0</v>
      </c>
      <c r="H48" s="81">
        <v>0</v>
      </c>
    </row>
    <row r="49" spans="1:8">
      <c r="A49" s="80">
        <v>0</v>
      </c>
      <c r="B49" s="81">
        <v>0</v>
      </c>
      <c r="C49" s="81">
        <v>0</v>
      </c>
      <c r="D49" s="81">
        <v>0</v>
      </c>
      <c r="E49" s="81">
        <v>0</v>
      </c>
      <c r="F49" s="81">
        <v>0</v>
      </c>
      <c r="G49" s="81">
        <v>0</v>
      </c>
      <c r="H49" s="81">
        <v>0</v>
      </c>
    </row>
    <row r="50" spans="1:8">
      <c r="A50" s="80">
        <v>0</v>
      </c>
      <c r="B50" s="81">
        <v>0</v>
      </c>
      <c r="C50" s="81">
        <v>0</v>
      </c>
      <c r="D50" s="81">
        <v>0</v>
      </c>
      <c r="E50" s="81">
        <v>0</v>
      </c>
      <c r="F50" s="81">
        <v>0</v>
      </c>
      <c r="G50" s="81">
        <v>0</v>
      </c>
      <c r="H50" s="81">
        <v>0</v>
      </c>
    </row>
    <row r="51" spans="1:8">
      <c r="A51" s="80">
        <v>0</v>
      </c>
      <c r="B51" s="81">
        <v>0</v>
      </c>
      <c r="C51" s="81">
        <v>0</v>
      </c>
      <c r="D51" s="81">
        <v>0</v>
      </c>
      <c r="E51" s="81">
        <v>0</v>
      </c>
      <c r="F51" s="81">
        <v>0</v>
      </c>
      <c r="G51" s="81">
        <v>0</v>
      </c>
      <c r="H51" s="81">
        <v>0</v>
      </c>
    </row>
    <row r="52" spans="1:8">
      <c r="A52" s="80">
        <v>0</v>
      </c>
      <c r="B52" s="81">
        <v>0</v>
      </c>
      <c r="C52" s="81">
        <v>0</v>
      </c>
      <c r="D52" s="81">
        <v>0</v>
      </c>
      <c r="E52" s="81">
        <v>0</v>
      </c>
      <c r="F52" s="81">
        <v>0</v>
      </c>
      <c r="G52" s="81">
        <v>0</v>
      </c>
      <c r="H52" s="81">
        <v>0</v>
      </c>
    </row>
    <row r="53" spans="1:8">
      <c r="A53" s="80" t="s">
        <v>904</v>
      </c>
      <c r="B53" s="81">
        <v>0</v>
      </c>
      <c r="C53" s="81">
        <v>0</v>
      </c>
      <c r="D53" s="81">
        <v>0</v>
      </c>
      <c r="E53" s="81">
        <v>0</v>
      </c>
      <c r="F53" s="81">
        <v>0</v>
      </c>
      <c r="G53" s="81">
        <v>0</v>
      </c>
      <c r="H53" s="81">
        <v>0</v>
      </c>
    </row>
    <row r="54" spans="1:8">
      <c r="A54" s="80" t="s">
        <v>635</v>
      </c>
      <c r="B54" s="81">
        <v>0</v>
      </c>
      <c r="C54" s="81">
        <v>0</v>
      </c>
      <c r="D54" s="81">
        <v>0</v>
      </c>
      <c r="E54" s="81">
        <v>0</v>
      </c>
      <c r="F54" s="81">
        <v>0</v>
      </c>
      <c r="G54" s="81">
        <v>0</v>
      </c>
      <c r="H54" s="81">
        <v>0</v>
      </c>
    </row>
    <row r="55" spans="1:8">
      <c r="A55" s="80" t="s">
        <v>890</v>
      </c>
      <c r="B55" s="81">
        <v>0</v>
      </c>
      <c r="C55" s="81">
        <v>0</v>
      </c>
      <c r="D55" s="81">
        <v>0</v>
      </c>
      <c r="E55" s="81">
        <v>0</v>
      </c>
      <c r="F55" s="81">
        <v>0</v>
      </c>
      <c r="G55" s="81">
        <v>0</v>
      </c>
      <c r="H55" s="81">
        <v>0</v>
      </c>
    </row>
    <row r="56" spans="1:8">
      <c r="A56" s="80" t="s">
        <v>454</v>
      </c>
      <c r="B56" s="81">
        <v>0</v>
      </c>
      <c r="C56" s="81">
        <v>0</v>
      </c>
      <c r="D56" s="81">
        <v>0</v>
      </c>
      <c r="E56" s="81">
        <v>0</v>
      </c>
      <c r="F56" s="81">
        <v>0</v>
      </c>
      <c r="G56" s="81">
        <v>0</v>
      </c>
      <c r="H56" s="81">
        <v>0</v>
      </c>
    </row>
    <row r="57" spans="1:8">
      <c r="A57" s="80" t="s">
        <v>906</v>
      </c>
      <c r="B57" s="81">
        <v>0</v>
      </c>
      <c r="C57" s="81">
        <v>0</v>
      </c>
      <c r="D57" s="81">
        <v>0</v>
      </c>
      <c r="E57" s="81">
        <v>0</v>
      </c>
      <c r="F57" s="81">
        <v>0</v>
      </c>
      <c r="G57" s="81">
        <v>0</v>
      </c>
      <c r="H57" s="81">
        <v>0</v>
      </c>
    </row>
    <row r="58" spans="1:8">
      <c r="A58" s="80">
        <v>0</v>
      </c>
      <c r="B58" s="81">
        <v>0</v>
      </c>
      <c r="C58" s="81">
        <v>0</v>
      </c>
      <c r="D58" s="81">
        <v>0</v>
      </c>
      <c r="E58" s="81">
        <v>0</v>
      </c>
      <c r="F58" s="81">
        <v>0</v>
      </c>
      <c r="G58" s="81">
        <v>0</v>
      </c>
      <c r="H58" s="81">
        <v>0</v>
      </c>
    </row>
    <row r="59" spans="1:8">
      <c r="A59" s="80">
        <v>0</v>
      </c>
      <c r="B59" s="81">
        <v>0</v>
      </c>
      <c r="C59" s="81">
        <v>0</v>
      </c>
      <c r="D59" s="81">
        <v>0</v>
      </c>
      <c r="E59" s="81">
        <v>0</v>
      </c>
      <c r="F59" s="81">
        <v>0</v>
      </c>
      <c r="G59" s="81">
        <v>0</v>
      </c>
      <c r="H59" s="81">
        <v>0</v>
      </c>
    </row>
    <row r="60" spans="1:8">
      <c r="A60" s="80">
        <v>0</v>
      </c>
      <c r="B60" s="81">
        <v>0</v>
      </c>
      <c r="C60" s="81">
        <v>0</v>
      </c>
      <c r="D60" s="81">
        <v>0</v>
      </c>
      <c r="E60" s="81">
        <v>0</v>
      </c>
      <c r="F60" s="81">
        <v>0</v>
      </c>
      <c r="G60" s="81">
        <v>0</v>
      </c>
      <c r="H60" s="81">
        <v>0</v>
      </c>
    </row>
    <row r="61" spans="1:8">
      <c r="A61" s="80">
        <v>0</v>
      </c>
      <c r="B61" s="81">
        <v>0</v>
      </c>
      <c r="C61" s="81">
        <v>0</v>
      </c>
      <c r="D61" s="81">
        <v>0</v>
      </c>
      <c r="E61" s="81">
        <v>0</v>
      </c>
      <c r="F61" s="81">
        <v>0</v>
      </c>
      <c r="G61" s="81">
        <v>0</v>
      </c>
      <c r="H61" s="81">
        <v>0</v>
      </c>
    </row>
    <row r="62" spans="1:8">
      <c r="A62" s="80" t="s">
        <v>455</v>
      </c>
      <c r="B62" s="81">
        <v>0</v>
      </c>
      <c r="C62" s="81">
        <v>0</v>
      </c>
      <c r="D62" s="81">
        <v>0</v>
      </c>
      <c r="E62" s="81">
        <v>0</v>
      </c>
      <c r="F62" s="81">
        <v>0</v>
      </c>
      <c r="G62" s="81">
        <v>0</v>
      </c>
      <c r="H62" s="81">
        <v>0</v>
      </c>
    </row>
    <row r="63" spans="1:8">
      <c r="A63" s="80" t="s">
        <v>907</v>
      </c>
      <c r="B63" s="81">
        <v>0</v>
      </c>
      <c r="C63" s="81">
        <v>0</v>
      </c>
      <c r="D63" s="81">
        <v>0</v>
      </c>
      <c r="E63" s="81">
        <v>0</v>
      </c>
      <c r="F63" s="81">
        <v>0</v>
      </c>
      <c r="G63" s="81">
        <v>0</v>
      </c>
      <c r="H63" s="81">
        <v>0</v>
      </c>
    </row>
    <row r="64" spans="1:8">
      <c r="A64" s="80" t="s">
        <v>908</v>
      </c>
      <c r="B64" s="81">
        <v>0</v>
      </c>
      <c r="C64" s="81">
        <v>0</v>
      </c>
      <c r="D64" s="81">
        <v>0</v>
      </c>
      <c r="E64" s="81">
        <v>0</v>
      </c>
      <c r="F64" s="81">
        <v>0</v>
      </c>
      <c r="G64" s="81">
        <v>0</v>
      </c>
      <c r="H64" s="81">
        <v>0</v>
      </c>
    </row>
    <row r="65" spans="1:8">
      <c r="A65" s="80" t="s">
        <v>909</v>
      </c>
      <c r="B65" s="81">
        <v>0</v>
      </c>
      <c r="C65" s="81">
        <v>0</v>
      </c>
      <c r="D65" s="81">
        <v>0</v>
      </c>
      <c r="E65" s="81">
        <v>0</v>
      </c>
      <c r="F65" s="81">
        <v>0</v>
      </c>
      <c r="G65" s="81">
        <v>0</v>
      </c>
      <c r="H65" s="81">
        <v>0</v>
      </c>
    </row>
    <row r="66" spans="1:8">
      <c r="A66" s="82" t="s">
        <v>276</v>
      </c>
      <c r="B66" s="80"/>
      <c r="C66" s="80"/>
      <c r="D66" s="80"/>
      <c r="E66" s="80"/>
      <c r="F66" s="80"/>
      <c r="G66" s="80"/>
      <c r="H66" s="80"/>
    </row>
    <row r="67" spans="1:8">
      <c r="A67" s="80" t="s">
        <v>904</v>
      </c>
      <c r="B67" s="154"/>
      <c r="C67" s="154"/>
      <c r="D67" s="154"/>
      <c r="E67" s="154"/>
      <c r="F67" s="154"/>
      <c r="G67" s="154"/>
      <c r="H67" s="154"/>
    </row>
    <row r="68" spans="1:8">
      <c r="A68" s="80"/>
      <c r="B68" s="154"/>
      <c r="C68" s="154"/>
      <c r="D68" s="154"/>
      <c r="E68" s="154"/>
      <c r="F68" s="154"/>
      <c r="G68" s="154"/>
      <c r="H68" s="154"/>
    </row>
    <row r="69" spans="1:8">
      <c r="A69" s="80"/>
      <c r="B69" s="154"/>
      <c r="C69" s="154"/>
      <c r="D69" s="154"/>
      <c r="E69" s="154"/>
      <c r="F69" s="154"/>
      <c r="G69" s="154"/>
      <c r="H69" s="154"/>
    </row>
    <row r="70" spans="1:8">
      <c r="A70" s="80"/>
      <c r="B70" s="154"/>
      <c r="C70" s="154"/>
      <c r="D70" s="154"/>
      <c r="E70" s="154"/>
      <c r="F70" s="154"/>
      <c r="G70" s="154"/>
      <c r="H70" s="154"/>
    </row>
    <row r="71" spans="1:8">
      <c r="A71" s="80" t="s">
        <v>635</v>
      </c>
      <c r="B71" s="81"/>
      <c r="C71" s="81"/>
      <c r="D71" s="81"/>
      <c r="E71" s="81"/>
      <c r="F71" s="81"/>
      <c r="G71" s="81"/>
      <c r="H71" s="81"/>
    </row>
    <row r="72" spans="1:8">
      <c r="A72" s="80"/>
      <c r="B72" s="81"/>
      <c r="C72" s="81"/>
      <c r="D72" s="81"/>
      <c r="E72" s="81"/>
      <c r="F72" s="81"/>
      <c r="G72" s="81"/>
      <c r="H72" s="81"/>
    </row>
    <row r="73" spans="1:8">
      <c r="A73" s="80"/>
      <c r="B73" s="81"/>
      <c r="C73" s="81"/>
      <c r="D73" s="81"/>
      <c r="E73" s="81"/>
      <c r="F73" s="81"/>
      <c r="G73" s="81"/>
      <c r="H73" s="81"/>
    </row>
    <row r="74" spans="1:8">
      <c r="A74" s="80"/>
      <c r="B74" s="81"/>
      <c r="C74" s="81"/>
      <c r="D74" s="81"/>
      <c r="E74" s="81"/>
      <c r="F74" s="81"/>
      <c r="G74" s="81"/>
      <c r="H74" s="81"/>
    </row>
    <row r="75" spans="1:8">
      <c r="A75" s="80" t="s">
        <v>890</v>
      </c>
      <c r="B75" s="81"/>
      <c r="C75" s="81"/>
      <c r="D75" s="81"/>
      <c r="E75" s="81"/>
      <c r="F75" s="81"/>
      <c r="G75" s="81"/>
      <c r="H75" s="81"/>
    </row>
    <row r="76" spans="1:8">
      <c r="A76" s="80"/>
      <c r="B76" s="81"/>
      <c r="C76" s="81"/>
      <c r="D76" s="81"/>
      <c r="E76" s="81"/>
      <c r="F76" s="81"/>
      <c r="G76" s="81"/>
      <c r="H76" s="81"/>
    </row>
    <row r="77" spans="1:8">
      <c r="A77" s="80"/>
      <c r="B77" s="81"/>
      <c r="C77" s="81"/>
      <c r="D77" s="81"/>
      <c r="E77" s="81"/>
      <c r="F77" s="81"/>
      <c r="G77" s="81"/>
      <c r="H77" s="81"/>
    </row>
    <row r="78" spans="1:8">
      <c r="A78" s="80"/>
      <c r="B78" s="81"/>
      <c r="C78" s="81"/>
      <c r="D78" s="81"/>
      <c r="E78" s="81"/>
      <c r="F78" s="81"/>
      <c r="G78" s="81"/>
      <c r="H78" s="81"/>
    </row>
    <row r="79" spans="1:8">
      <c r="A79" s="80" t="s">
        <v>454</v>
      </c>
      <c r="B79" s="81"/>
      <c r="C79" s="81"/>
      <c r="D79" s="81"/>
      <c r="E79" s="81"/>
      <c r="F79" s="81"/>
      <c r="G79" s="81"/>
      <c r="H79" s="81"/>
    </row>
    <row r="80" spans="1:8">
      <c r="A80" s="80"/>
      <c r="B80" s="81"/>
      <c r="C80" s="81"/>
      <c r="D80" s="81"/>
      <c r="E80" s="81"/>
      <c r="F80" s="81"/>
      <c r="G80" s="81"/>
      <c r="H80" s="81"/>
    </row>
    <row r="81" spans="1:8">
      <c r="A81" s="80"/>
      <c r="B81" s="81"/>
      <c r="C81" s="81"/>
      <c r="D81" s="81"/>
      <c r="E81" s="81"/>
      <c r="F81" s="81"/>
      <c r="G81" s="81"/>
      <c r="H81" s="81"/>
    </row>
    <row r="82" spans="1:8">
      <c r="A82" s="80"/>
      <c r="B82" s="81"/>
      <c r="C82" s="81"/>
      <c r="D82" s="81"/>
      <c r="E82" s="81"/>
      <c r="F82" s="81"/>
      <c r="G82" s="81"/>
      <c r="H82" s="81"/>
    </row>
    <row r="83" spans="1:8">
      <c r="A83" s="80" t="s">
        <v>905</v>
      </c>
      <c r="B83" s="81"/>
      <c r="C83" s="81"/>
      <c r="D83" s="81"/>
      <c r="E83" s="81"/>
      <c r="F83" s="81"/>
      <c r="G83" s="81"/>
      <c r="H83" s="81"/>
    </row>
    <row r="84" spans="1:8">
      <c r="A84" s="80"/>
      <c r="B84" s="81"/>
      <c r="C84" s="81"/>
      <c r="D84" s="81"/>
      <c r="E84" s="81"/>
      <c r="F84" s="81"/>
      <c r="G84" s="81"/>
      <c r="H84" s="81"/>
    </row>
    <row r="85" spans="1:8">
      <c r="A85" s="80"/>
      <c r="B85" s="81"/>
      <c r="C85" s="81"/>
      <c r="D85" s="81"/>
      <c r="E85" s="81"/>
      <c r="F85" s="81"/>
      <c r="G85" s="81"/>
      <c r="H85" s="81"/>
    </row>
    <row r="86" spans="1:8">
      <c r="A86" s="80"/>
      <c r="B86" s="81"/>
      <c r="C86" s="81"/>
      <c r="D86" s="81"/>
      <c r="E86" s="81"/>
      <c r="F86" s="81"/>
      <c r="G86" s="81"/>
      <c r="H86" s="81"/>
    </row>
    <row r="87" spans="1:8">
      <c r="A87" s="80">
        <v>0</v>
      </c>
      <c r="B87" s="81"/>
      <c r="C87" s="81"/>
      <c r="D87" s="81"/>
      <c r="E87" s="81"/>
      <c r="F87" s="81"/>
      <c r="G87" s="81"/>
      <c r="H87" s="81"/>
    </row>
    <row r="88" spans="1:8">
      <c r="A88" s="80"/>
      <c r="B88" s="81"/>
      <c r="C88" s="81"/>
      <c r="D88" s="81"/>
      <c r="E88" s="81"/>
      <c r="F88" s="81"/>
      <c r="G88" s="81"/>
      <c r="H88" s="81"/>
    </row>
    <row r="89" spans="1:8">
      <c r="A89" s="80"/>
      <c r="B89" s="81"/>
      <c r="C89" s="81"/>
      <c r="D89" s="81"/>
      <c r="E89" s="81"/>
      <c r="F89" s="81"/>
      <c r="G89" s="81"/>
      <c r="H89" s="81"/>
    </row>
    <row r="90" spans="1:8">
      <c r="A90" s="80"/>
      <c r="B90" s="81"/>
      <c r="C90" s="81"/>
      <c r="D90" s="81"/>
      <c r="E90" s="81"/>
      <c r="F90" s="81"/>
      <c r="G90" s="81"/>
      <c r="H90" s="81"/>
    </row>
    <row r="91" spans="1:8">
      <c r="A91" s="80">
        <v>0</v>
      </c>
      <c r="B91" s="81"/>
      <c r="C91" s="81"/>
      <c r="D91" s="81"/>
      <c r="E91" s="81"/>
      <c r="F91" s="81"/>
      <c r="G91" s="81"/>
      <c r="H91" s="81"/>
    </row>
    <row r="92" spans="1:8">
      <c r="A92" s="80"/>
      <c r="B92" s="81"/>
      <c r="C92" s="81"/>
      <c r="D92" s="81"/>
      <c r="E92" s="81"/>
      <c r="F92" s="81"/>
      <c r="G92" s="81"/>
      <c r="H92" s="81"/>
    </row>
    <row r="93" spans="1:8">
      <c r="A93" s="80"/>
      <c r="B93" s="81"/>
      <c r="C93" s="81"/>
      <c r="D93" s="81"/>
      <c r="E93" s="81"/>
      <c r="F93" s="81"/>
      <c r="G93" s="81"/>
      <c r="H93" s="81"/>
    </row>
    <row r="94" spans="1:8">
      <c r="A94" s="80">
        <v>0</v>
      </c>
      <c r="B94" s="81"/>
      <c r="C94" s="81"/>
      <c r="D94" s="81"/>
      <c r="E94" s="81"/>
      <c r="F94" s="81"/>
      <c r="G94" s="81"/>
      <c r="H94" s="81"/>
    </row>
    <row r="95" spans="1:8">
      <c r="A95" s="80"/>
      <c r="B95" s="81"/>
      <c r="C95" s="81"/>
      <c r="D95" s="81"/>
      <c r="E95" s="81"/>
      <c r="F95" s="81"/>
      <c r="G95" s="81"/>
      <c r="H95" s="81"/>
    </row>
    <row r="96" spans="1:8">
      <c r="A96" s="80"/>
      <c r="B96" s="81"/>
      <c r="C96" s="81"/>
      <c r="D96" s="81"/>
      <c r="E96" s="81"/>
      <c r="F96" s="81"/>
      <c r="G96" s="81"/>
      <c r="H96" s="81"/>
    </row>
    <row r="97" spans="1:8">
      <c r="A97" s="80"/>
      <c r="B97" s="81"/>
      <c r="C97" s="81"/>
      <c r="D97" s="81"/>
      <c r="E97" s="81"/>
      <c r="F97" s="81"/>
      <c r="G97" s="81"/>
      <c r="H97" s="81"/>
    </row>
    <row r="98" spans="1:8">
      <c r="A98" s="80">
        <v>0</v>
      </c>
      <c r="B98" s="81"/>
      <c r="C98" s="81"/>
      <c r="D98" s="81"/>
      <c r="E98" s="81"/>
      <c r="F98" s="81"/>
      <c r="G98" s="81"/>
      <c r="H98" s="81"/>
    </row>
    <row r="99" spans="1:8">
      <c r="A99" s="80"/>
      <c r="B99" s="81"/>
      <c r="C99" s="81"/>
      <c r="D99" s="81"/>
      <c r="E99" s="81"/>
      <c r="F99" s="81"/>
      <c r="G99" s="81"/>
      <c r="H99" s="81"/>
    </row>
    <row r="100" spans="1:8">
      <c r="A100" s="80"/>
      <c r="B100" s="81"/>
      <c r="C100" s="81"/>
      <c r="D100" s="81"/>
      <c r="E100" s="81"/>
      <c r="F100" s="81"/>
      <c r="G100" s="81"/>
      <c r="H100" s="81"/>
    </row>
    <row r="101" spans="1:8">
      <c r="A101" s="80"/>
      <c r="B101" s="81"/>
      <c r="C101" s="81"/>
      <c r="D101" s="81"/>
      <c r="E101" s="81"/>
      <c r="F101" s="81"/>
      <c r="G101" s="81"/>
      <c r="H101" s="81"/>
    </row>
    <row r="102" spans="1:8">
      <c r="A102" s="80" t="s">
        <v>904</v>
      </c>
      <c r="B102" s="81"/>
      <c r="C102" s="81"/>
      <c r="D102" s="81"/>
      <c r="E102" s="81"/>
      <c r="F102" s="81"/>
      <c r="G102" s="81"/>
      <c r="H102" s="81"/>
    </row>
    <row r="103" spans="1:8">
      <c r="A103" s="80"/>
      <c r="B103" s="81"/>
      <c r="C103" s="81"/>
      <c r="D103" s="81"/>
      <c r="E103" s="81"/>
      <c r="F103" s="81"/>
      <c r="G103" s="81"/>
      <c r="H103" s="81"/>
    </row>
    <row r="104" spans="1:8">
      <c r="A104" s="80"/>
      <c r="B104" s="81"/>
      <c r="C104" s="81"/>
      <c r="D104" s="81"/>
      <c r="E104" s="81"/>
      <c r="F104" s="81"/>
      <c r="G104" s="81"/>
      <c r="H104" s="81"/>
    </row>
    <row r="105" spans="1:8">
      <c r="A105" s="80"/>
      <c r="B105" s="81"/>
      <c r="C105" s="81"/>
      <c r="D105" s="81"/>
      <c r="E105" s="81"/>
      <c r="F105" s="81"/>
      <c r="G105" s="81"/>
      <c r="H105" s="81"/>
    </row>
    <row r="106" spans="1:8">
      <c r="A106" s="80" t="s">
        <v>635</v>
      </c>
      <c r="B106" s="81"/>
      <c r="C106" s="81"/>
      <c r="D106" s="81"/>
      <c r="E106" s="81"/>
      <c r="F106" s="81"/>
      <c r="G106" s="81"/>
      <c r="H106" s="81"/>
    </row>
    <row r="107" spans="1:8">
      <c r="A107" s="80"/>
      <c r="B107" s="81"/>
      <c r="C107" s="81"/>
      <c r="D107" s="81"/>
      <c r="E107" s="81"/>
      <c r="F107" s="81"/>
      <c r="G107" s="81"/>
      <c r="H107" s="81"/>
    </row>
    <row r="108" spans="1:8">
      <c r="A108" s="80"/>
      <c r="B108" s="81"/>
      <c r="C108" s="81"/>
      <c r="D108" s="81"/>
      <c r="E108" s="81"/>
      <c r="F108" s="81"/>
      <c r="G108" s="81"/>
      <c r="H108" s="81"/>
    </row>
    <row r="109" spans="1:8">
      <c r="A109" s="80"/>
      <c r="B109" s="81"/>
      <c r="C109" s="81"/>
      <c r="D109" s="81"/>
      <c r="E109" s="81"/>
      <c r="F109" s="81"/>
      <c r="G109" s="81"/>
      <c r="H109" s="81"/>
    </row>
    <row r="110" spans="1:8">
      <c r="A110" s="80" t="s">
        <v>890</v>
      </c>
      <c r="B110" s="81"/>
      <c r="C110" s="81"/>
      <c r="D110" s="81"/>
      <c r="E110" s="81"/>
      <c r="F110" s="81"/>
      <c r="G110" s="81"/>
      <c r="H110" s="81"/>
    </row>
    <row r="111" spans="1:8">
      <c r="A111" s="80"/>
      <c r="B111" s="81"/>
      <c r="C111" s="81"/>
      <c r="D111" s="81"/>
      <c r="E111" s="81"/>
      <c r="F111" s="81"/>
      <c r="G111" s="81"/>
      <c r="H111" s="81"/>
    </row>
    <row r="112" spans="1:8">
      <c r="A112" s="80"/>
      <c r="B112" s="81"/>
      <c r="C112" s="81"/>
      <c r="D112" s="81"/>
      <c r="E112" s="81"/>
      <c r="F112" s="81"/>
      <c r="G112" s="81"/>
      <c r="H112" s="81"/>
    </row>
    <row r="113" spans="1:8">
      <c r="A113" s="80"/>
      <c r="B113" s="81"/>
      <c r="C113" s="81"/>
      <c r="D113" s="81"/>
      <c r="E113" s="81"/>
      <c r="F113" s="81"/>
      <c r="G113" s="81"/>
      <c r="H113" s="81"/>
    </row>
    <row r="114" spans="1:8">
      <c r="A114" s="80" t="s">
        <v>454</v>
      </c>
      <c r="B114" s="81"/>
      <c r="C114" s="81"/>
      <c r="D114" s="81"/>
      <c r="E114" s="81"/>
      <c r="F114" s="81"/>
      <c r="G114" s="81"/>
      <c r="H114" s="81"/>
    </row>
    <row r="115" spans="1:8">
      <c r="A115" s="80"/>
      <c r="B115" s="81"/>
      <c r="C115" s="81"/>
      <c r="D115" s="81"/>
      <c r="E115" s="81"/>
      <c r="F115" s="81"/>
      <c r="G115" s="81"/>
      <c r="H115" s="81"/>
    </row>
    <row r="116" spans="1:8">
      <c r="A116" s="80"/>
      <c r="B116" s="81"/>
      <c r="C116" s="81"/>
      <c r="D116" s="81"/>
      <c r="E116" s="81"/>
      <c r="F116" s="81"/>
      <c r="G116" s="81"/>
      <c r="H116" s="81"/>
    </row>
    <row r="117" spans="1:8">
      <c r="A117" s="80"/>
      <c r="B117" s="81"/>
      <c r="C117" s="81"/>
      <c r="D117" s="81"/>
      <c r="E117" s="81"/>
      <c r="F117" s="81"/>
      <c r="G117" s="81"/>
      <c r="H117" s="81"/>
    </row>
    <row r="118" spans="1:8">
      <c r="A118" s="82" t="s">
        <v>906</v>
      </c>
      <c r="B118" s="81"/>
      <c r="C118" s="81"/>
      <c r="D118" s="81"/>
      <c r="E118" s="81"/>
      <c r="F118" s="81"/>
      <c r="G118" s="81"/>
      <c r="H118" s="81"/>
    </row>
    <row r="119" spans="1:8">
      <c r="A119" s="80">
        <v>0</v>
      </c>
      <c r="B119" s="81"/>
      <c r="C119" s="81"/>
      <c r="D119" s="81"/>
      <c r="E119" s="81"/>
      <c r="F119" s="81"/>
      <c r="G119" s="81"/>
      <c r="H119" s="81"/>
    </row>
    <row r="120" spans="1:8">
      <c r="A120" s="80">
        <v>0</v>
      </c>
      <c r="B120" s="81"/>
      <c r="C120" s="81"/>
      <c r="D120" s="81"/>
      <c r="E120" s="81"/>
      <c r="F120" s="81"/>
      <c r="G120" s="81"/>
      <c r="H120" s="81"/>
    </row>
    <row r="121" spans="1:8">
      <c r="A121" s="80">
        <v>0</v>
      </c>
      <c r="B121" s="81"/>
      <c r="C121" s="81"/>
      <c r="D121" s="81"/>
      <c r="E121" s="81"/>
      <c r="F121" s="81"/>
      <c r="G121" s="81"/>
      <c r="H121" s="81"/>
    </row>
    <row r="122" spans="1:8">
      <c r="A122" s="80">
        <v>0</v>
      </c>
      <c r="B122" s="81"/>
      <c r="C122" s="81"/>
      <c r="D122" s="81"/>
      <c r="E122" s="81"/>
      <c r="F122" s="81"/>
      <c r="G122" s="81"/>
      <c r="H122" s="81"/>
    </row>
    <row r="123" spans="1:8">
      <c r="A123" s="82" t="s">
        <v>455</v>
      </c>
      <c r="B123" s="81"/>
      <c r="C123" s="81"/>
      <c r="D123" s="81"/>
      <c r="E123" s="81"/>
      <c r="F123" s="81"/>
      <c r="G123" s="81"/>
      <c r="H123" s="81"/>
    </row>
    <row r="124" spans="1:8">
      <c r="A124" s="80" t="s">
        <v>894</v>
      </c>
      <c r="B124" s="81">
        <v>0</v>
      </c>
      <c r="C124" s="81">
        <v>0</v>
      </c>
      <c r="D124" s="81">
        <v>0</v>
      </c>
      <c r="E124" s="81">
        <v>0</v>
      </c>
      <c r="F124" s="81">
        <v>0</v>
      </c>
      <c r="G124" s="81">
        <v>0</v>
      </c>
      <c r="H124" s="81">
        <v>0</v>
      </c>
    </row>
    <row r="125" spans="1:8">
      <c r="A125" s="80" t="s">
        <v>895</v>
      </c>
      <c r="B125" s="81">
        <v>0</v>
      </c>
      <c r="C125" s="81">
        <v>0</v>
      </c>
      <c r="D125" s="81">
        <v>0</v>
      </c>
      <c r="E125" s="81">
        <v>0</v>
      </c>
      <c r="F125" s="81">
        <v>0</v>
      </c>
      <c r="G125" s="81">
        <v>0</v>
      </c>
      <c r="H125" s="81">
        <v>0</v>
      </c>
    </row>
    <row r="126" spans="1:8">
      <c r="A126" s="80" t="s">
        <v>896</v>
      </c>
      <c r="B126" s="81">
        <v>0</v>
      </c>
      <c r="C126" s="81">
        <v>0</v>
      </c>
      <c r="D126" s="81">
        <v>0</v>
      </c>
      <c r="E126" s="81">
        <v>0</v>
      </c>
      <c r="F126" s="81">
        <v>0</v>
      </c>
      <c r="G126" s="81">
        <v>0</v>
      </c>
      <c r="H126" s="81">
        <v>0</v>
      </c>
    </row>
    <row r="127" spans="1:8">
      <c r="A127" s="80" t="s">
        <v>907</v>
      </c>
      <c r="B127" s="81"/>
      <c r="C127" s="81"/>
      <c r="D127" s="81"/>
      <c r="E127" s="81"/>
      <c r="F127" s="81"/>
      <c r="G127" s="81"/>
      <c r="H127" s="81"/>
    </row>
    <row r="128" spans="1:8">
      <c r="A128" s="80"/>
      <c r="B128" s="81"/>
      <c r="C128" s="81"/>
      <c r="D128" s="81"/>
      <c r="E128" s="81"/>
      <c r="F128" s="81"/>
      <c r="G128" s="81"/>
      <c r="H128" s="81"/>
    </row>
    <row r="129" spans="1:8">
      <c r="A129" s="80"/>
      <c r="B129" s="81"/>
      <c r="C129" s="81"/>
      <c r="D129" s="81"/>
      <c r="E129" s="81"/>
      <c r="F129" s="81"/>
      <c r="G129" s="81"/>
      <c r="H129" s="81"/>
    </row>
    <row r="130" spans="1:8">
      <c r="A130" s="80"/>
      <c r="B130" s="81"/>
      <c r="C130" s="81"/>
      <c r="D130" s="81"/>
      <c r="E130" s="81"/>
      <c r="F130" s="81"/>
      <c r="G130" s="81"/>
      <c r="H130" s="81"/>
    </row>
    <row r="131" spans="1:8">
      <c r="A131" s="80" t="s">
        <v>908</v>
      </c>
      <c r="B131" s="81"/>
      <c r="C131" s="81"/>
      <c r="D131" s="81"/>
      <c r="E131" s="81"/>
      <c r="F131" s="81"/>
      <c r="G131" s="81"/>
      <c r="H131" s="81"/>
    </row>
    <row r="132" spans="1:8">
      <c r="A132" s="80"/>
      <c r="B132" s="81"/>
      <c r="C132" s="81"/>
      <c r="D132" s="81"/>
      <c r="E132" s="81"/>
      <c r="F132" s="81"/>
      <c r="G132" s="81"/>
      <c r="H132" s="81"/>
    </row>
    <row r="133" spans="1:8">
      <c r="A133" s="80"/>
      <c r="B133" s="81"/>
      <c r="C133" s="81"/>
      <c r="D133" s="81"/>
      <c r="E133" s="81"/>
      <c r="F133" s="81"/>
      <c r="G133" s="81"/>
      <c r="H133" s="81"/>
    </row>
    <row r="134" spans="1:8">
      <c r="A134" s="80"/>
      <c r="B134" s="81"/>
      <c r="C134" s="81"/>
      <c r="D134" s="81"/>
      <c r="E134" s="81"/>
      <c r="F134" s="81"/>
      <c r="G134" s="81"/>
      <c r="H134" s="81"/>
    </row>
    <row r="135" spans="1:8">
      <c r="A135" s="80" t="s">
        <v>909</v>
      </c>
      <c r="B135" s="81"/>
      <c r="C135" s="81"/>
      <c r="D135" s="81"/>
      <c r="E135" s="81"/>
      <c r="F135" s="81"/>
      <c r="G135" s="81"/>
      <c r="H135" s="81"/>
    </row>
    <row r="136" spans="1:8">
      <c r="A136" s="80"/>
      <c r="B136" s="81"/>
      <c r="C136" s="81"/>
      <c r="D136" s="81"/>
      <c r="E136" s="81"/>
      <c r="F136" s="81"/>
      <c r="G136" s="81"/>
      <c r="H136" s="81"/>
    </row>
    <row r="137" spans="1:8">
      <c r="A137" s="80"/>
      <c r="B137" s="81"/>
      <c r="C137" s="81"/>
      <c r="D137" s="81"/>
      <c r="E137" s="81"/>
      <c r="F137" s="81"/>
      <c r="G137" s="81"/>
      <c r="H137" s="81"/>
    </row>
    <row r="138" spans="1:8">
      <c r="A138" s="80"/>
      <c r="B138" s="81"/>
      <c r="C138" s="81"/>
      <c r="D138" s="81"/>
      <c r="E138" s="81"/>
      <c r="F138" s="81"/>
      <c r="G138" s="81"/>
      <c r="H138" s="81"/>
    </row>
    <row r="139" spans="1:8">
      <c r="A139" s="149"/>
      <c r="B139" s="264"/>
      <c r="C139" s="264"/>
      <c r="D139" s="264"/>
      <c r="E139" s="264"/>
      <c r="F139" s="264"/>
      <c r="G139" s="264"/>
      <c r="H139" s="264"/>
    </row>
    <row r="140" spans="1:8">
      <c r="A140" s="150" t="s">
        <v>431</v>
      </c>
    </row>
    <row r="141" spans="1:8">
      <c r="A141" t="s">
        <v>897</v>
      </c>
      <c r="B141" s="27">
        <v>0</v>
      </c>
      <c r="C141" s="27">
        <v>0</v>
      </c>
      <c r="D141" s="27">
        <v>0</v>
      </c>
      <c r="E141" s="27">
        <v>0</v>
      </c>
      <c r="F141" s="27">
        <v>0</v>
      </c>
      <c r="G141" s="27">
        <v>0</v>
      </c>
      <c r="H141" s="27">
        <v>0</v>
      </c>
    </row>
    <row r="142" spans="1:8">
      <c r="A142" t="s">
        <v>898</v>
      </c>
      <c r="B142" s="27">
        <v>0</v>
      </c>
      <c r="C142" s="27">
        <v>0</v>
      </c>
      <c r="D142" s="27">
        <v>0</v>
      </c>
      <c r="E142" s="27">
        <v>0</v>
      </c>
      <c r="F142" s="27">
        <v>0</v>
      </c>
      <c r="G142" s="27">
        <v>0</v>
      </c>
      <c r="H142" s="27">
        <v>0</v>
      </c>
    </row>
    <row r="143" spans="1:8">
      <c r="A143" t="s">
        <v>899</v>
      </c>
      <c r="B143" s="27">
        <v>0</v>
      </c>
      <c r="C143" s="27">
        <v>0</v>
      </c>
      <c r="D143" s="27">
        <v>0</v>
      </c>
      <c r="E143" s="27">
        <v>0</v>
      </c>
      <c r="F143" s="27">
        <v>0</v>
      </c>
      <c r="G143" s="27">
        <v>0</v>
      </c>
      <c r="H143" s="27">
        <v>0</v>
      </c>
    </row>
    <row r="145" spans="1:10">
      <c r="B145" s="27"/>
      <c r="C145" s="27"/>
    </row>
    <row r="146" spans="1:10">
      <c r="B146" s="27"/>
      <c r="C146" s="27"/>
      <c r="D146" s="27"/>
    </row>
    <row r="147" spans="1:10" ht="18.75">
      <c r="A147" s="703" t="s">
        <v>535</v>
      </c>
      <c r="B147" s="703"/>
      <c r="C147" s="703"/>
      <c r="D147" s="703"/>
      <c r="E147" s="703"/>
      <c r="F147" s="703"/>
      <c r="G147" s="703"/>
      <c r="H147" s="703"/>
      <c r="I147" s="703"/>
      <c r="J147" s="703"/>
    </row>
    <row r="148" spans="1:10">
      <c r="A148" s="633"/>
      <c r="B148" s="633"/>
      <c r="C148" s="633"/>
      <c r="D148" s="633"/>
      <c r="E148" s="633"/>
      <c r="F148" s="633"/>
      <c r="G148" s="633"/>
      <c r="H148" s="633"/>
    </row>
    <row r="149" spans="1:10">
      <c r="A149" s="277"/>
      <c r="B149" s="277"/>
      <c r="C149" s="277"/>
      <c r="D149" s="156">
        <v>1</v>
      </c>
      <c r="E149" s="157">
        <v>1.05</v>
      </c>
      <c r="F149" s="157">
        <v>1.1025</v>
      </c>
      <c r="G149" s="157">
        <v>1.1576250000000001</v>
      </c>
      <c r="H149" s="157">
        <v>1.2155062500000002</v>
      </c>
      <c r="I149" s="157">
        <v>1.2762815625000004</v>
      </c>
      <c r="J149" s="157">
        <v>1.3400956406250004</v>
      </c>
    </row>
    <row r="150" spans="1:10">
      <c r="A150" s="79"/>
      <c r="B150" s="79"/>
      <c r="C150" s="79"/>
      <c r="D150" s="79"/>
      <c r="E150" s="79"/>
      <c r="F150" s="79"/>
      <c r="G150" s="79"/>
      <c r="H150" s="79"/>
      <c r="I150" s="79"/>
      <c r="J150" s="79"/>
    </row>
    <row r="151" spans="1:10">
      <c r="A151" s="123" t="s">
        <v>0</v>
      </c>
      <c r="B151" s="123" t="s">
        <v>128</v>
      </c>
      <c r="C151" s="123" t="s">
        <v>148</v>
      </c>
      <c r="D151" s="103" t="s">
        <v>2</v>
      </c>
      <c r="E151" s="103" t="s">
        <v>3</v>
      </c>
      <c r="F151" s="103" t="s">
        <v>4</v>
      </c>
      <c r="G151" s="103" t="s">
        <v>5</v>
      </c>
      <c r="H151" s="103" t="s">
        <v>6</v>
      </c>
      <c r="I151" s="103" t="s">
        <v>163</v>
      </c>
      <c r="J151" s="103" t="s">
        <v>162</v>
      </c>
    </row>
    <row r="152" spans="1:10">
      <c r="A152" s="80"/>
      <c r="B152" s="80"/>
      <c r="C152" s="80"/>
      <c r="D152" s="80"/>
      <c r="E152" s="80"/>
      <c r="F152" s="80"/>
      <c r="G152" s="80"/>
      <c r="H152" s="80"/>
      <c r="I152" s="80"/>
      <c r="J152" s="80"/>
    </row>
    <row r="153" spans="1:10">
      <c r="A153" s="82" t="s">
        <v>124</v>
      </c>
      <c r="B153" s="82"/>
      <c r="C153" s="82"/>
      <c r="D153" s="97"/>
      <c r="E153" s="97"/>
      <c r="F153" s="97"/>
      <c r="G153" s="97"/>
      <c r="H153" s="97"/>
      <c r="I153" s="80"/>
      <c r="J153" s="80"/>
    </row>
    <row r="154" spans="1:10">
      <c r="A154" s="80" t="s">
        <v>894</v>
      </c>
      <c r="B154" s="191" t="s">
        <v>900</v>
      </c>
      <c r="C154" s="191">
        <v>150</v>
      </c>
      <c r="D154" s="81">
        <v>0</v>
      </c>
      <c r="E154" s="81">
        <v>0</v>
      </c>
      <c r="F154" s="81">
        <v>0</v>
      </c>
      <c r="G154" s="81">
        <v>0</v>
      </c>
      <c r="H154" s="81">
        <v>0</v>
      </c>
      <c r="I154" s="81">
        <v>0</v>
      </c>
      <c r="J154" s="81">
        <v>0</v>
      </c>
    </row>
    <row r="155" spans="1:10">
      <c r="A155" s="80" t="s">
        <v>895</v>
      </c>
      <c r="B155" s="191" t="s">
        <v>901</v>
      </c>
      <c r="C155" s="191">
        <v>40</v>
      </c>
      <c r="D155" s="81">
        <v>0</v>
      </c>
      <c r="E155" s="81">
        <v>0</v>
      </c>
      <c r="F155" s="81">
        <v>0</v>
      </c>
      <c r="G155" s="81">
        <v>0</v>
      </c>
      <c r="H155" s="81">
        <v>0</v>
      </c>
      <c r="I155" s="81">
        <v>0</v>
      </c>
      <c r="J155" s="81">
        <v>0</v>
      </c>
    </row>
    <row r="156" spans="1:10">
      <c r="A156" s="80" t="s">
        <v>896</v>
      </c>
      <c r="B156" s="191" t="s">
        <v>348</v>
      </c>
      <c r="C156" s="191">
        <v>50</v>
      </c>
      <c r="D156" s="81">
        <v>0</v>
      </c>
      <c r="E156" s="81">
        <v>0</v>
      </c>
      <c r="F156" s="81">
        <v>0</v>
      </c>
      <c r="G156" s="81">
        <v>0</v>
      </c>
      <c r="H156" s="81">
        <v>0</v>
      </c>
      <c r="I156" s="81">
        <v>0</v>
      </c>
      <c r="J156" s="81">
        <v>0</v>
      </c>
    </row>
    <row r="157" spans="1:10">
      <c r="A157" s="80"/>
      <c r="B157" s="191"/>
      <c r="C157" s="191"/>
      <c r="D157" s="81"/>
      <c r="E157" s="81"/>
      <c r="F157" s="81"/>
      <c r="G157" s="81"/>
      <c r="H157" s="81"/>
      <c r="I157" s="81"/>
      <c r="J157" s="81"/>
    </row>
    <row r="158" spans="1:10">
      <c r="A158" s="80"/>
      <c r="B158" s="80"/>
      <c r="C158" s="80"/>
      <c r="D158" s="81"/>
      <c r="E158" s="81"/>
      <c r="F158" s="81"/>
      <c r="G158" s="81"/>
      <c r="H158" s="81"/>
      <c r="I158" s="81"/>
      <c r="J158" s="81"/>
    </row>
    <row r="159" spans="1:10">
      <c r="A159" s="82" t="s">
        <v>124</v>
      </c>
      <c r="B159" s="82"/>
      <c r="C159" s="82"/>
      <c r="D159" s="98">
        <v>0</v>
      </c>
      <c r="E159" s="98">
        <v>0</v>
      </c>
      <c r="F159" s="98">
        <v>0</v>
      </c>
      <c r="G159" s="98">
        <v>0</v>
      </c>
      <c r="H159" s="98">
        <v>0</v>
      </c>
      <c r="I159" s="98">
        <v>0</v>
      </c>
      <c r="J159" s="98">
        <v>0</v>
      </c>
    </row>
    <row r="160" spans="1:10">
      <c r="A160" s="80"/>
      <c r="B160" s="80"/>
      <c r="C160" s="80"/>
      <c r="D160" s="81"/>
      <c r="E160" s="81"/>
      <c r="F160" s="81"/>
      <c r="G160" s="81"/>
      <c r="H160" s="81"/>
      <c r="I160" s="81"/>
      <c r="J160" s="81"/>
    </row>
    <row r="161" spans="1:10">
      <c r="A161" s="82" t="s">
        <v>137</v>
      </c>
      <c r="B161" s="82"/>
      <c r="C161" s="82"/>
      <c r="D161" s="81"/>
      <c r="E161" s="81"/>
      <c r="F161" s="81"/>
      <c r="G161" s="81"/>
      <c r="H161" s="81"/>
      <c r="I161" s="81"/>
      <c r="J161" s="81"/>
    </row>
    <row r="162" spans="1:10">
      <c r="A162" s="82" t="s">
        <v>301</v>
      </c>
      <c r="B162" s="82"/>
      <c r="C162" s="80"/>
      <c r="D162" s="81"/>
      <c r="E162" s="81"/>
      <c r="F162" s="81"/>
      <c r="G162" s="81"/>
      <c r="H162" s="81"/>
      <c r="I162" s="81"/>
      <c r="J162" s="81"/>
    </row>
    <row r="163" spans="1:10">
      <c r="A163" s="84" t="s">
        <v>902</v>
      </c>
      <c r="B163" s="191" t="s">
        <v>349</v>
      </c>
      <c r="C163" s="214">
        <v>6000</v>
      </c>
      <c r="D163" s="81">
        <v>0</v>
      </c>
      <c r="E163" s="81">
        <v>0</v>
      </c>
      <c r="F163" s="81">
        <v>0</v>
      </c>
      <c r="G163" s="81">
        <v>0</v>
      </c>
      <c r="H163" s="81">
        <v>0</v>
      </c>
      <c r="I163" s="81">
        <v>0</v>
      </c>
      <c r="J163" s="81">
        <v>0</v>
      </c>
    </row>
    <row r="164" spans="1:10">
      <c r="A164" s="80" t="s">
        <v>903</v>
      </c>
      <c r="B164" s="191" t="s">
        <v>349</v>
      </c>
      <c r="C164" s="191">
        <v>2000</v>
      </c>
      <c r="D164" s="81">
        <v>0</v>
      </c>
      <c r="E164" s="81">
        <v>0</v>
      </c>
      <c r="F164" s="81">
        <v>0</v>
      </c>
      <c r="G164" s="81">
        <v>0</v>
      </c>
      <c r="H164" s="81">
        <v>0</v>
      </c>
      <c r="I164" s="81">
        <v>0</v>
      </c>
      <c r="J164" s="81">
        <v>0</v>
      </c>
    </row>
    <row r="165" spans="1:10">
      <c r="A165" s="80" t="s">
        <v>307</v>
      </c>
      <c r="B165" s="191">
        <v>5</v>
      </c>
      <c r="C165" s="191">
        <v>300</v>
      </c>
      <c r="D165" s="81">
        <v>0</v>
      </c>
      <c r="E165" s="81">
        <v>0</v>
      </c>
      <c r="F165" s="81">
        <v>0</v>
      </c>
      <c r="G165" s="81">
        <v>0</v>
      </c>
      <c r="H165" s="81">
        <v>0</v>
      </c>
      <c r="I165" s="81">
        <v>0</v>
      </c>
      <c r="J165" s="81">
        <v>0</v>
      </c>
    </row>
    <row r="166" spans="1:10">
      <c r="A166" s="80" t="s">
        <v>139</v>
      </c>
      <c r="B166" s="80">
        <v>0</v>
      </c>
      <c r="C166" s="191">
        <v>8</v>
      </c>
      <c r="D166" s="81">
        <v>0</v>
      </c>
      <c r="E166" s="81">
        <v>0</v>
      </c>
      <c r="F166" s="81">
        <v>0</v>
      </c>
      <c r="G166" s="81">
        <v>0</v>
      </c>
      <c r="H166" s="81">
        <v>0</v>
      </c>
      <c r="I166" s="81">
        <v>0</v>
      </c>
      <c r="J166" s="81">
        <v>0</v>
      </c>
    </row>
    <row r="167" spans="1:10">
      <c r="A167" s="80" t="s">
        <v>284</v>
      </c>
      <c r="B167" s="80" t="s">
        <v>349</v>
      </c>
      <c r="C167" s="191">
        <v>10</v>
      </c>
      <c r="D167" s="81">
        <v>0</v>
      </c>
      <c r="E167" s="81">
        <v>0</v>
      </c>
      <c r="F167" s="81">
        <v>0</v>
      </c>
      <c r="G167" s="81">
        <v>0</v>
      </c>
      <c r="H167" s="81">
        <v>0</v>
      </c>
      <c r="I167" s="81">
        <v>0</v>
      </c>
      <c r="J167" s="81">
        <v>0</v>
      </c>
    </row>
    <row r="168" spans="1:10">
      <c r="A168" s="92" t="s">
        <v>285</v>
      </c>
      <c r="B168" s="92"/>
      <c r="C168" s="216">
        <v>2</v>
      </c>
      <c r="D168" s="81">
        <v>0</v>
      </c>
      <c r="E168" s="81">
        <v>0</v>
      </c>
      <c r="F168" s="81">
        <v>0</v>
      </c>
      <c r="G168" s="81">
        <v>0</v>
      </c>
      <c r="H168" s="81">
        <v>0</v>
      </c>
      <c r="I168" s="81">
        <v>0</v>
      </c>
      <c r="J168" s="81">
        <v>0</v>
      </c>
    </row>
    <row r="169" spans="1:10">
      <c r="A169" s="80" t="s">
        <v>286</v>
      </c>
      <c r="B169" s="80"/>
      <c r="C169" s="191">
        <v>1</v>
      </c>
      <c r="D169" s="81">
        <v>0</v>
      </c>
      <c r="E169" s="81">
        <v>0</v>
      </c>
      <c r="F169" s="81">
        <v>0</v>
      </c>
      <c r="G169" s="81">
        <v>0</v>
      </c>
      <c r="H169" s="81">
        <v>0</v>
      </c>
      <c r="I169" s="81">
        <v>0</v>
      </c>
      <c r="J169" s="81">
        <v>0</v>
      </c>
    </row>
    <row r="170" spans="1:10">
      <c r="A170" s="10"/>
      <c r="B170" s="10"/>
      <c r="C170" s="10"/>
      <c r="D170" s="10"/>
      <c r="E170" s="10"/>
      <c r="F170" s="10"/>
      <c r="G170" s="10"/>
      <c r="H170" s="10"/>
      <c r="I170" s="10"/>
      <c r="J170" s="10"/>
    </row>
    <row r="171" spans="1:10">
      <c r="A171" s="10"/>
      <c r="B171" s="10"/>
      <c r="C171" s="10"/>
      <c r="D171" s="10"/>
      <c r="E171" s="10"/>
      <c r="F171" s="10"/>
      <c r="G171" s="10"/>
      <c r="H171" s="10"/>
      <c r="I171" s="10"/>
      <c r="J171" s="10"/>
    </row>
    <row r="172" spans="1:10">
      <c r="A172" s="10"/>
      <c r="B172" s="10"/>
      <c r="C172" s="10"/>
      <c r="D172" s="10"/>
      <c r="E172" s="10"/>
      <c r="F172" s="10"/>
      <c r="G172" s="10"/>
      <c r="H172" s="10"/>
      <c r="I172" s="10"/>
      <c r="J172" s="10"/>
    </row>
    <row r="173" spans="1:10">
      <c r="A173" s="10"/>
      <c r="B173" s="10"/>
      <c r="C173" s="10"/>
      <c r="D173" s="10"/>
      <c r="E173" s="10"/>
      <c r="F173" s="10"/>
      <c r="G173" s="10"/>
      <c r="H173" s="10"/>
      <c r="I173" s="10"/>
      <c r="J173" s="10"/>
    </row>
    <row r="174" spans="1:10">
      <c r="A174" s="158" t="s">
        <v>329</v>
      </c>
      <c r="B174" s="81"/>
      <c r="C174" s="81"/>
      <c r="D174" s="81"/>
      <c r="E174" s="81">
        <v>0</v>
      </c>
      <c r="F174" s="81">
        <v>0</v>
      </c>
      <c r="G174" s="81">
        <v>0</v>
      </c>
      <c r="H174" s="81">
        <v>0</v>
      </c>
      <c r="I174" s="81">
        <v>0</v>
      </c>
      <c r="J174" s="81">
        <v>0</v>
      </c>
    </row>
    <row r="175" spans="1:10">
      <c r="A175" s="158" t="s">
        <v>330</v>
      </c>
      <c r="B175" s="81"/>
      <c r="C175" s="81"/>
      <c r="D175" s="81">
        <v>0</v>
      </c>
      <c r="E175" s="81">
        <v>0</v>
      </c>
      <c r="F175" s="81">
        <v>0</v>
      </c>
      <c r="G175" s="81">
        <v>0</v>
      </c>
      <c r="H175" s="81">
        <v>0</v>
      </c>
      <c r="I175" s="81">
        <v>0</v>
      </c>
      <c r="J175" s="81">
        <v>0</v>
      </c>
    </row>
    <row r="176" spans="1:10">
      <c r="A176" s="81"/>
      <c r="B176" s="81"/>
      <c r="C176" s="81"/>
      <c r="D176" s="81"/>
      <c r="E176" s="81"/>
      <c r="F176" s="81"/>
      <c r="G176" s="81"/>
      <c r="H176" s="81"/>
      <c r="I176" s="81"/>
      <c r="J176" s="81"/>
    </row>
    <row r="177" spans="1:10">
      <c r="A177" s="98" t="s">
        <v>308</v>
      </c>
      <c r="B177" s="81"/>
      <c r="C177" s="81"/>
      <c r="D177" s="98">
        <v>0</v>
      </c>
      <c r="E177" s="98">
        <v>0</v>
      </c>
      <c r="F177" s="98">
        <v>0</v>
      </c>
      <c r="G177" s="98">
        <v>0</v>
      </c>
      <c r="H177" s="98">
        <v>0</v>
      </c>
      <c r="I177" s="98">
        <v>0</v>
      </c>
      <c r="J177" s="98">
        <v>0</v>
      </c>
    </row>
    <row r="178" spans="1:10">
      <c r="A178" s="79"/>
      <c r="B178" s="79"/>
      <c r="C178" s="79"/>
      <c r="D178" s="79"/>
      <c r="E178" s="79"/>
      <c r="F178" s="79"/>
      <c r="G178" s="79"/>
      <c r="H178" s="79"/>
      <c r="I178" s="79"/>
      <c r="J178" s="79"/>
    </row>
    <row r="179" spans="1:10">
      <c r="A179" s="159" t="s">
        <v>299</v>
      </c>
      <c r="B179" s="159"/>
      <c r="C179" s="159"/>
      <c r="D179" s="98"/>
      <c r="E179" s="98"/>
      <c r="F179" s="98"/>
      <c r="G179" s="98"/>
      <c r="H179" s="98"/>
      <c r="I179" s="98"/>
      <c r="J179" s="98"/>
    </row>
    <row r="180" spans="1:10">
      <c r="A180" s="80" t="s">
        <v>182</v>
      </c>
      <c r="B180" s="191">
        <v>1</v>
      </c>
      <c r="C180" s="214"/>
      <c r="D180" s="81">
        <v>0</v>
      </c>
      <c r="E180" s="81">
        <v>0</v>
      </c>
      <c r="F180" s="81">
        <v>0</v>
      </c>
      <c r="G180" s="81">
        <v>0</v>
      </c>
      <c r="H180" s="81">
        <v>0</v>
      </c>
      <c r="I180" s="81">
        <v>0</v>
      </c>
      <c r="J180" s="81">
        <v>0</v>
      </c>
    </row>
    <row r="181" spans="1:10">
      <c r="A181" s="80" t="s">
        <v>184</v>
      </c>
      <c r="B181" s="191">
        <v>2</v>
      </c>
      <c r="C181" s="214"/>
      <c r="D181" s="81">
        <v>0</v>
      </c>
      <c r="E181" s="81">
        <v>0</v>
      </c>
      <c r="F181" s="81">
        <v>0</v>
      </c>
      <c r="G181" s="81">
        <v>0</v>
      </c>
      <c r="H181" s="81">
        <v>0</v>
      </c>
      <c r="I181" s="81">
        <v>0</v>
      </c>
      <c r="J181" s="81">
        <v>0</v>
      </c>
    </row>
    <row r="182" spans="1:10">
      <c r="A182" s="80"/>
      <c r="B182" s="191"/>
      <c r="C182" s="214"/>
      <c r="D182" s="81"/>
      <c r="E182" s="81"/>
      <c r="F182" s="81"/>
      <c r="G182" s="81"/>
      <c r="H182" s="81"/>
      <c r="I182" s="81"/>
      <c r="J182" s="81"/>
    </row>
    <row r="183" spans="1:10">
      <c r="A183" s="80"/>
      <c r="B183" s="191"/>
      <c r="C183" s="214"/>
      <c r="D183" s="81"/>
      <c r="E183" s="81"/>
      <c r="F183" s="81"/>
      <c r="G183" s="81"/>
      <c r="H183" s="81"/>
      <c r="I183" s="81"/>
      <c r="J183" s="81"/>
    </row>
    <row r="184" spans="1:10">
      <c r="A184" s="80"/>
      <c r="B184" s="191"/>
      <c r="C184" s="214"/>
      <c r="D184" s="81"/>
      <c r="E184" s="81"/>
      <c r="F184" s="81"/>
      <c r="G184" s="81"/>
      <c r="H184" s="81"/>
      <c r="I184" s="81"/>
      <c r="J184" s="81"/>
    </row>
    <row r="185" spans="1:10">
      <c r="A185" s="82" t="s">
        <v>299</v>
      </c>
      <c r="B185" s="82"/>
      <c r="C185" s="82"/>
      <c r="D185" s="98">
        <v>0</v>
      </c>
      <c r="E185" s="98">
        <v>0</v>
      </c>
      <c r="F185" s="98">
        <v>0</v>
      </c>
      <c r="G185" s="98">
        <v>0</v>
      </c>
      <c r="H185" s="98">
        <v>0</v>
      </c>
      <c r="I185" s="98">
        <v>0</v>
      </c>
      <c r="J185" s="98">
        <v>0</v>
      </c>
    </row>
    <row r="186" spans="1:10">
      <c r="A186" s="159" t="s">
        <v>287</v>
      </c>
      <c r="B186" s="159"/>
      <c r="C186" s="159"/>
      <c r="D186" s="98">
        <v>0</v>
      </c>
      <c r="E186" s="98">
        <v>0</v>
      </c>
      <c r="F186" s="98">
        <v>0</v>
      </c>
      <c r="G186" s="98">
        <v>0</v>
      </c>
      <c r="H186" s="98">
        <v>0</v>
      </c>
      <c r="I186" s="98">
        <v>0</v>
      </c>
      <c r="J186" s="98">
        <v>0</v>
      </c>
    </row>
    <row r="187" spans="1:10">
      <c r="A187" s="80"/>
      <c r="B187" s="80"/>
      <c r="C187" s="80"/>
      <c r="D187" s="81"/>
      <c r="E187" s="81"/>
      <c r="F187" s="81"/>
      <c r="G187" s="81"/>
      <c r="H187" s="81"/>
      <c r="I187" s="81"/>
      <c r="J187" s="81"/>
    </row>
    <row r="188" spans="1:10">
      <c r="A188" s="82" t="s">
        <v>7</v>
      </c>
      <c r="B188" s="82"/>
      <c r="C188" s="82"/>
      <c r="D188" s="98">
        <v>0</v>
      </c>
      <c r="E188" s="98">
        <v>0</v>
      </c>
      <c r="F188" s="98">
        <v>0</v>
      </c>
      <c r="G188" s="98">
        <v>0</v>
      </c>
      <c r="H188" s="98">
        <v>0</v>
      </c>
      <c r="I188" s="98">
        <v>0</v>
      </c>
      <c r="J188" s="98">
        <v>0</v>
      </c>
    </row>
    <row r="189" spans="1:10">
      <c r="A189" s="99"/>
      <c r="B189" s="99"/>
      <c r="C189" s="99"/>
      <c r="D189" s="79"/>
      <c r="E189" s="79"/>
      <c r="F189" s="79"/>
      <c r="G189" s="79"/>
      <c r="H189" s="79"/>
      <c r="I189" s="79"/>
      <c r="J189" s="79"/>
    </row>
    <row r="190" spans="1:10">
      <c r="A190" s="79"/>
      <c r="B190" s="79"/>
      <c r="C190" s="79"/>
      <c r="D190" s="79"/>
      <c r="E190" s="79"/>
      <c r="F190" s="79"/>
      <c r="G190" s="79"/>
      <c r="H190" s="79"/>
      <c r="I190" s="79"/>
      <c r="J190" s="79"/>
    </row>
    <row r="191" spans="1:10">
      <c r="A191" s="79"/>
      <c r="B191" s="79"/>
      <c r="C191" s="79"/>
      <c r="D191" s="79"/>
      <c r="E191" s="79"/>
      <c r="F191" s="79"/>
      <c r="G191" s="79"/>
      <c r="H191" s="79"/>
      <c r="I191" s="79"/>
      <c r="J191" s="79"/>
    </row>
    <row r="192" spans="1:10">
      <c r="A192" s="704" t="s">
        <v>402</v>
      </c>
      <c r="B192" s="704"/>
      <c r="C192" s="704"/>
      <c r="D192" s="704"/>
      <c r="E192" s="704"/>
      <c r="F192" s="704"/>
      <c r="G192" s="704"/>
      <c r="H192" s="704"/>
      <c r="I192" s="704"/>
      <c r="J192" s="704"/>
    </row>
    <row r="194" spans="1:5">
      <c r="A194" t="s">
        <v>480</v>
      </c>
    </row>
    <row r="195" spans="1:5">
      <c r="A195">
        <v>1</v>
      </c>
      <c r="B195" t="s">
        <v>490</v>
      </c>
    </row>
    <row r="196" spans="1:5">
      <c r="A196">
        <v>2</v>
      </c>
      <c r="B196" t="s">
        <v>491</v>
      </c>
      <c r="C196" s="56"/>
      <c r="D196" s="56"/>
      <c r="E196" s="56"/>
    </row>
    <row r="197" spans="1:5">
      <c r="A197">
        <v>3</v>
      </c>
      <c r="B197" s="79" t="s">
        <v>536</v>
      </c>
    </row>
  </sheetData>
  <mergeCells count="4">
    <mergeCell ref="A192:J192"/>
    <mergeCell ref="A3:H3"/>
    <mergeCell ref="A4:H4"/>
    <mergeCell ref="A147:J147"/>
  </mergeCells>
  <pageMargins left="0.7" right="0.7" top="0.75" bottom="0.75" header="0.3" footer="0.3"/>
  <pageSetup paperSize="9" scale="53" orientation="portrait" r:id="rId1"/>
  <rowBreaks count="2" manualBreakCount="2">
    <brk id="63" max="7" man="1"/>
    <brk id="123" max="7" man="1"/>
  </rowBreaks>
  <colBreaks count="1" manualBreakCount="1">
    <brk id="10" min="2" max="54"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J56"/>
  <sheetViews>
    <sheetView view="pageBreakPreview" zoomScale="40" zoomScaleSheetLayoutView="40" workbookViewId="0">
      <selection activeCell="P84" sqref="P84"/>
    </sheetView>
  </sheetViews>
  <sheetFormatPr defaultRowHeight="15"/>
  <cols>
    <col min="1" max="1" width="30.42578125" bestFit="1" customWidth="1"/>
    <col min="2" max="2" width="9.85546875" customWidth="1"/>
    <col min="3" max="3" width="11.140625" customWidth="1"/>
    <col min="4" max="10" width="9.5703125" bestFit="1" customWidth="1"/>
  </cols>
  <sheetData>
    <row r="2" spans="1:10" ht="18.75">
      <c r="A2" s="767" t="s">
        <v>525</v>
      </c>
      <c r="B2" s="767"/>
      <c r="C2" s="767"/>
      <c r="D2" s="767"/>
      <c r="E2" s="767"/>
      <c r="F2" s="767"/>
      <c r="G2" s="767"/>
      <c r="H2" s="767"/>
    </row>
    <row r="3" spans="1:10" ht="18.75">
      <c r="A3" s="767" t="s">
        <v>526</v>
      </c>
      <c r="B3" s="767"/>
      <c r="C3" s="767"/>
      <c r="D3" s="767"/>
      <c r="E3" s="767"/>
      <c r="F3" s="767"/>
      <c r="G3" s="767"/>
      <c r="H3" s="767"/>
    </row>
    <row r="4" spans="1:10">
      <c r="A4" s="150" t="s">
        <v>156</v>
      </c>
      <c r="B4" s="219"/>
      <c r="C4" s="148" t="s">
        <v>288</v>
      </c>
      <c r="D4" s="148"/>
      <c r="E4" s="148"/>
      <c r="F4" s="148"/>
      <c r="G4" s="149"/>
      <c r="H4" s="79"/>
    </row>
    <row r="5" spans="1:10">
      <c r="A5" s="150"/>
      <c r="B5" s="151"/>
      <c r="C5" s="149"/>
      <c r="D5" s="149"/>
      <c r="E5" s="149"/>
      <c r="F5" s="149"/>
      <c r="G5" s="149"/>
      <c r="H5" s="79"/>
    </row>
    <row r="6" spans="1:10">
      <c r="A6" s="150" t="s">
        <v>290</v>
      </c>
      <c r="B6" s="152">
        <v>12</v>
      </c>
      <c r="C6" s="149"/>
      <c r="D6" s="152"/>
      <c r="E6" s="152"/>
      <c r="F6" s="149"/>
      <c r="G6" s="149"/>
      <c r="H6" s="79"/>
    </row>
    <row r="7" spans="1:10">
      <c r="A7" s="150"/>
      <c r="B7" s="79"/>
      <c r="C7" s="152"/>
      <c r="D7" s="152"/>
      <c r="E7" s="152"/>
      <c r="F7" s="149"/>
      <c r="G7" s="149"/>
      <c r="H7" s="79"/>
    </row>
    <row r="8" spans="1:10">
      <c r="A8" s="123" t="s">
        <v>125</v>
      </c>
      <c r="B8" s="103" t="s">
        <v>2</v>
      </c>
      <c r="C8" s="103" t="s">
        <v>3</v>
      </c>
      <c r="D8" s="103" t="s">
        <v>4</v>
      </c>
      <c r="E8" s="103" t="s">
        <v>5</v>
      </c>
      <c r="F8" s="103" t="s">
        <v>6</v>
      </c>
      <c r="G8" s="103" t="s">
        <v>163</v>
      </c>
      <c r="H8" s="103" t="s">
        <v>162</v>
      </c>
    </row>
    <row r="9" spans="1:10">
      <c r="A9" s="80" t="s">
        <v>291</v>
      </c>
      <c r="B9" s="238">
        <v>0.8</v>
      </c>
      <c r="C9" s="238">
        <f>B9+5%</f>
        <v>0.85000000000000009</v>
      </c>
      <c r="D9" s="238">
        <f>C9+5%</f>
        <v>0.90000000000000013</v>
      </c>
      <c r="E9" s="238">
        <f>D9+5%</f>
        <v>0.95000000000000018</v>
      </c>
      <c r="F9" s="238">
        <f>E9+5%</f>
        <v>1.0000000000000002</v>
      </c>
      <c r="G9" s="238">
        <f>F9</f>
        <v>1.0000000000000002</v>
      </c>
      <c r="H9" s="238">
        <f>G9</f>
        <v>1.0000000000000002</v>
      </c>
    </row>
    <row r="10" spans="1:10">
      <c r="A10" s="82" t="s">
        <v>309</v>
      </c>
      <c r="B10" s="154">
        <f t="shared" ref="B10:H10" si="0">$B$4*B9*$B$6</f>
        <v>0</v>
      </c>
      <c r="C10" s="154">
        <f t="shared" si="0"/>
        <v>0</v>
      </c>
      <c r="D10" s="154">
        <f t="shared" si="0"/>
        <v>0</v>
      </c>
      <c r="E10" s="154">
        <f t="shared" si="0"/>
        <v>0</v>
      </c>
      <c r="F10" s="154">
        <f t="shared" si="0"/>
        <v>0</v>
      </c>
      <c r="G10" s="154">
        <f t="shared" si="0"/>
        <v>0</v>
      </c>
      <c r="H10" s="154">
        <f t="shared" si="0"/>
        <v>0</v>
      </c>
    </row>
    <row r="15" spans="1:10" ht="18.75">
      <c r="A15" s="703" t="s">
        <v>527</v>
      </c>
      <c r="B15" s="703"/>
      <c r="C15" s="703"/>
      <c r="D15" s="703"/>
      <c r="E15" s="703"/>
      <c r="F15" s="703"/>
      <c r="G15" s="703"/>
      <c r="H15" s="703"/>
      <c r="I15" s="703"/>
      <c r="J15" s="703"/>
    </row>
    <row r="16" spans="1:10">
      <c r="A16" s="14"/>
      <c r="B16" s="52"/>
      <c r="C16" s="28"/>
      <c r="D16" s="14"/>
      <c r="E16" s="14"/>
      <c r="F16" s="14"/>
      <c r="G16" s="14"/>
      <c r="H16" s="14"/>
    </row>
    <row r="17" spans="1:10">
      <c r="A17" s="79"/>
      <c r="B17" s="79"/>
      <c r="C17" s="79"/>
      <c r="D17" s="144">
        <v>1</v>
      </c>
      <c r="E17" s="147">
        <f>(D17*5%)+D17</f>
        <v>1.05</v>
      </c>
      <c r="F17" s="147">
        <f t="shared" ref="F17:J17" si="1">(E17*5%)+E17</f>
        <v>1.1025</v>
      </c>
      <c r="G17" s="147">
        <f t="shared" si="1"/>
        <v>1.1576250000000001</v>
      </c>
      <c r="H17" s="147">
        <f t="shared" si="1"/>
        <v>1.2155062500000002</v>
      </c>
      <c r="I17" s="147">
        <f t="shared" si="1"/>
        <v>1.2762815625000004</v>
      </c>
      <c r="J17" s="147">
        <f t="shared" si="1"/>
        <v>1.3400956406250004</v>
      </c>
    </row>
    <row r="18" spans="1:10">
      <c r="A18" s="123" t="s">
        <v>0</v>
      </c>
      <c r="B18" s="123" t="s">
        <v>128</v>
      </c>
      <c r="C18" s="123" t="s">
        <v>148</v>
      </c>
      <c r="D18" s="103" t="s">
        <v>2</v>
      </c>
      <c r="E18" s="103" t="s">
        <v>3</v>
      </c>
      <c r="F18" s="103" t="s">
        <v>4</v>
      </c>
      <c r="G18" s="103" t="s">
        <v>5</v>
      </c>
      <c r="H18" s="103" t="s">
        <v>6</v>
      </c>
      <c r="I18" s="103" t="s">
        <v>163</v>
      </c>
      <c r="J18" s="103" t="s">
        <v>162</v>
      </c>
    </row>
    <row r="19" spans="1:10">
      <c r="A19" s="80"/>
      <c r="B19" s="80"/>
      <c r="C19" s="80"/>
      <c r="D19" s="80"/>
      <c r="E19" s="80"/>
      <c r="F19" s="80"/>
      <c r="G19" s="80"/>
      <c r="H19" s="80"/>
      <c r="I19" s="80"/>
      <c r="J19" s="80"/>
    </row>
    <row r="20" spans="1:10">
      <c r="A20" s="82" t="s">
        <v>171</v>
      </c>
      <c r="B20" s="82"/>
      <c r="C20" s="82"/>
      <c r="D20" s="80"/>
      <c r="E20" s="80"/>
      <c r="F20" s="80"/>
      <c r="G20" s="80"/>
      <c r="H20" s="80"/>
      <c r="I20" s="80"/>
      <c r="J20" s="80"/>
    </row>
    <row r="21" spans="1:10">
      <c r="A21" s="80" t="s">
        <v>311</v>
      </c>
      <c r="B21" s="80"/>
      <c r="C21" s="214">
        <v>100</v>
      </c>
      <c r="D21" s="81">
        <f t="shared" ref="D21:J21" si="2">B10*$C$21*D17</f>
        <v>0</v>
      </c>
      <c r="E21" s="81">
        <f t="shared" si="2"/>
        <v>0</v>
      </c>
      <c r="F21" s="81">
        <f t="shared" si="2"/>
        <v>0</v>
      </c>
      <c r="G21" s="81">
        <f t="shared" si="2"/>
        <v>0</v>
      </c>
      <c r="H21" s="81">
        <f t="shared" si="2"/>
        <v>0</v>
      </c>
      <c r="I21" s="81">
        <f t="shared" si="2"/>
        <v>0</v>
      </c>
      <c r="J21" s="81">
        <f t="shared" si="2"/>
        <v>0</v>
      </c>
    </row>
    <row r="22" spans="1:10">
      <c r="A22" s="80"/>
      <c r="B22" s="80"/>
      <c r="C22" s="81"/>
      <c r="D22" s="81"/>
      <c r="E22" s="81"/>
      <c r="F22" s="81"/>
      <c r="G22" s="81"/>
      <c r="H22" s="81"/>
      <c r="I22" s="81"/>
      <c r="J22" s="81"/>
    </row>
    <row r="23" spans="1:10">
      <c r="A23" s="82" t="s">
        <v>138</v>
      </c>
      <c r="B23" s="82"/>
      <c r="C23" s="98"/>
      <c r="D23" s="81">
        <f t="shared" ref="D23:J23" si="3">SUM(D21:D21)</f>
        <v>0</v>
      </c>
      <c r="E23" s="81">
        <f t="shared" si="3"/>
        <v>0</v>
      </c>
      <c r="F23" s="81">
        <f t="shared" si="3"/>
        <v>0</v>
      </c>
      <c r="G23" s="81">
        <f t="shared" si="3"/>
        <v>0</v>
      </c>
      <c r="H23" s="81">
        <f t="shared" si="3"/>
        <v>0</v>
      </c>
      <c r="I23" s="81">
        <f t="shared" si="3"/>
        <v>0</v>
      </c>
      <c r="J23" s="81">
        <f t="shared" si="3"/>
        <v>0</v>
      </c>
    </row>
    <row r="24" spans="1:10">
      <c r="A24" s="80"/>
      <c r="B24" s="80"/>
      <c r="C24" s="81"/>
      <c r="D24" s="81"/>
      <c r="E24" s="81"/>
      <c r="F24" s="81"/>
      <c r="G24" s="81"/>
      <c r="H24" s="81"/>
      <c r="I24" s="81"/>
      <c r="J24" s="81"/>
    </row>
    <row r="25" spans="1:10">
      <c r="A25" s="82" t="s">
        <v>137</v>
      </c>
      <c r="B25" s="82"/>
      <c r="C25" s="81"/>
      <c r="D25" s="81"/>
      <c r="E25" s="81"/>
      <c r="F25" s="81"/>
      <c r="G25" s="81"/>
      <c r="H25" s="81"/>
      <c r="I25" s="81"/>
      <c r="J25" s="81"/>
    </row>
    <row r="26" spans="1:10">
      <c r="A26" s="82" t="s">
        <v>301</v>
      </c>
      <c r="B26" s="82"/>
      <c r="C26" s="81"/>
      <c r="D26" s="81"/>
      <c r="E26" s="81"/>
      <c r="F26" s="81"/>
      <c r="G26" s="81"/>
      <c r="H26" s="81"/>
      <c r="I26" s="81"/>
      <c r="J26" s="81"/>
    </row>
    <row r="27" spans="1:10">
      <c r="A27" s="80" t="s">
        <v>292</v>
      </c>
      <c r="B27" s="191" t="s">
        <v>288</v>
      </c>
      <c r="C27" s="214">
        <v>15</v>
      </c>
      <c r="D27" s="81">
        <f t="shared" ref="D27:J27" si="4">$B$4*$C$27*D17*4</f>
        <v>0</v>
      </c>
      <c r="E27" s="81">
        <f t="shared" si="4"/>
        <v>0</v>
      </c>
      <c r="F27" s="81">
        <f t="shared" si="4"/>
        <v>0</v>
      </c>
      <c r="G27" s="81">
        <f t="shared" si="4"/>
        <v>0</v>
      </c>
      <c r="H27" s="81">
        <f t="shared" si="4"/>
        <v>0</v>
      </c>
      <c r="I27" s="81">
        <f t="shared" si="4"/>
        <v>0</v>
      </c>
      <c r="J27" s="81">
        <f t="shared" si="4"/>
        <v>0</v>
      </c>
    </row>
    <row r="28" spans="1:10">
      <c r="A28" s="80" t="s">
        <v>293</v>
      </c>
      <c r="B28" s="191" t="s">
        <v>288</v>
      </c>
      <c r="C28" s="214">
        <v>14</v>
      </c>
      <c r="D28" s="81">
        <f t="shared" ref="D28:J28" si="5">$B$4*$C$28*D17*12</f>
        <v>0</v>
      </c>
      <c r="E28" s="81">
        <f t="shared" si="5"/>
        <v>0</v>
      </c>
      <c r="F28" s="81">
        <f t="shared" si="5"/>
        <v>0</v>
      </c>
      <c r="G28" s="81">
        <f t="shared" si="5"/>
        <v>0</v>
      </c>
      <c r="H28" s="81">
        <f t="shared" si="5"/>
        <v>0</v>
      </c>
      <c r="I28" s="81">
        <f t="shared" si="5"/>
        <v>0</v>
      </c>
      <c r="J28" s="81">
        <f t="shared" si="5"/>
        <v>0</v>
      </c>
    </row>
    <row r="29" spans="1:10">
      <c r="A29" s="80" t="s">
        <v>294</v>
      </c>
      <c r="B29" s="191"/>
      <c r="C29" s="214">
        <f>B4*10</f>
        <v>0</v>
      </c>
      <c r="D29" s="81">
        <f>$C$29*12*D17</f>
        <v>0</v>
      </c>
      <c r="E29" s="81">
        <f t="shared" ref="E29:J29" si="6">$C$29*12*E17</f>
        <v>0</v>
      </c>
      <c r="F29" s="81">
        <f t="shared" si="6"/>
        <v>0</v>
      </c>
      <c r="G29" s="81">
        <f t="shared" si="6"/>
        <v>0</v>
      </c>
      <c r="H29" s="81">
        <f t="shared" si="6"/>
        <v>0</v>
      </c>
      <c r="I29" s="81">
        <f t="shared" si="6"/>
        <v>0</v>
      </c>
      <c r="J29" s="81">
        <f t="shared" si="6"/>
        <v>0</v>
      </c>
    </row>
    <row r="30" spans="1:10">
      <c r="A30" s="80"/>
      <c r="B30" s="191"/>
      <c r="C30" s="214"/>
      <c r="D30" s="81"/>
      <c r="E30" s="81"/>
      <c r="F30" s="81"/>
      <c r="G30" s="81"/>
      <c r="H30" s="81"/>
      <c r="I30" s="81"/>
      <c r="J30" s="81"/>
    </row>
    <row r="31" spans="1:10">
      <c r="A31" s="80"/>
      <c r="B31" s="191"/>
      <c r="C31" s="214"/>
      <c r="D31" s="81"/>
      <c r="E31" s="81"/>
      <c r="F31" s="81"/>
      <c r="G31" s="81"/>
      <c r="H31" s="81"/>
      <c r="I31" s="81"/>
      <c r="J31" s="81"/>
    </row>
    <row r="32" spans="1:10">
      <c r="A32" s="80"/>
      <c r="B32" s="191"/>
      <c r="C32" s="214"/>
      <c r="D32" s="81"/>
      <c r="E32" s="81"/>
      <c r="F32" s="81"/>
      <c r="G32" s="81"/>
      <c r="H32" s="81"/>
      <c r="I32" s="81"/>
      <c r="J32" s="81"/>
    </row>
    <row r="33" spans="1:10">
      <c r="A33" s="80"/>
      <c r="B33" s="191"/>
      <c r="C33" s="214"/>
      <c r="D33" s="81"/>
      <c r="E33" s="81"/>
      <c r="F33" s="81"/>
      <c r="G33" s="81"/>
      <c r="H33" s="81"/>
      <c r="I33" s="81"/>
      <c r="J33" s="81"/>
    </row>
    <row r="34" spans="1:10">
      <c r="A34" s="82" t="s">
        <v>308</v>
      </c>
      <c r="B34" s="196"/>
      <c r="C34" s="218"/>
      <c r="D34" s="98">
        <f>SUM(D27:D33)</f>
        <v>0</v>
      </c>
      <c r="E34" s="98">
        <f t="shared" ref="E34:J34" si="7">SUM(E27:E33)</f>
        <v>0</v>
      </c>
      <c r="F34" s="98">
        <f t="shared" si="7"/>
        <v>0</v>
      </c>
      <c r="G34" s="98">
        <f t="shared" si="7"/>
        <v>0</v>
      </c>
      <c r="H34" s="98">
        <f t="shared" si="7"/>
        <v>0</v>
      </c>
      <c r="I34" s="98">
        <f t="shared" si="7"/>
        <v>0</v>
      </c>
      <c r="J34" s="98">
        <f t="shared" si="7"/>
        <v>0</v>
      </c>
    </row>
    <row r="35" spans="1:10">
      <c r="A35" s="82"/>
      <c r="B35" s="196"/>
      <c r="C35" s="218"/>
      <c r="D35" s="98"/>
      <c r="E35" s="98"/>
      <c r="F35" s="98"/>
      <c r="G35" s="98"/>
      <c r="H35" s="98"/>
      <c r="I35" s="98"/>
      <c r="J35" s="98"/>
    </row>
    <row r="36" spans="1:10">
      <c r="A36" s="82" t="s">
        <v>299</v>
      </c>
      <c r="B36" s="191"/>
      <c r="C36" s="214"/>
      <c r="D36" s="81"/>
      <c r="E36" s="81"/>
      <c r="F36" s="81"/>
      <c r="G36" s="81"/>
      <c r="H36" s="81"/>
      <c r="I36" s="81"/>
      <c r="J36" s="81"/>
    </row>
    <row r="37" spans="1:10">
      <c r="A37" s="80" t="s">
        <v>310</v>
      </c>
      <c r="B37" s="191">
        <v>1</v>
      </c>
      <c r="C37" s="214"/>
      <c r="D37" s="81">
        <f>$B$37*$C$37*D17*12</f>
        <v>0</v>
      </c>
      <c r="E37" s="81">
        <f t="shared" ref="E37:J37" si="8">$B$37*$C$37*E17*12</f>
        <v>0</v>
      </c>
      <c r="F37" s="81">
        <f t="shared" si="8"/>
        <v>0</v>
      </c>
      <c r="G37" s="81">
        <f t="shared" si="8"/>
        <v>0</v>
      </c>
      <c r="H37" s="81">
        <f t="shared" si="8"/>
        <v>0</v>
      </c>
      <c r="I37" s="81">
        <f t="shared" si="8"/>
        <v>0</v>
      </c>
      <c r="J37" s="81">
        <f t="shared" si="8"/>
        <v>0</v>
      </c>
    </row>
    <row r="38" spans="1:10">
      <c r="A38" s="80"/>
      <c r="B38" s="191"/>
      <c r="C38" s="214"/>
      <c r="D38" s="81"/>
      <c r="E38" s="81"/>
      <c r="F38" s="81"/>
      <c r="G38" s="81"/>
      <c r="H38" s="81"/>
      <c r="I38" s="81"/>
      <c r="J38" s="81"/>
    </row>
    <row r="39" spans="1:10">
      <c r="A39" s="80"/>
      <c r="B39" s="191"/>
      <c r="C39" s="214"/>
      <c r="D39" s="81"/>
      <c r="E39" s="81"/>
      <c r="F39" s="81"/>
      <c r="G39" s="81"/>
      <c r="H39" s="81"/>
      <c r="I39" s="81"/>
      <c r="J39" s="81"/>
    </row>
    <row r="40" spans="1:10">
      <c r="A40" s="80"/>
      <c r="B40" s="191"/>
      <c r="C40" s="214"/>
      <c r="D40" s="81"/>
      <c r="E40" s="81"/>
      <c r="F40" s="81"/>
      <c r="G40" s="81"/>
      <c r="H40" s="81"/>
      <c r="I40" s="81"/>
      <c r="J40" s="81"/>
    </row>
    <row r="41" spans="1:10">
      <c r="A41" s="80"/>
      <c r="B41" s="191"/>
      <c r="C41" s="214"/>
      <c r="D41" s="81"/>
      <c r="E41" s="81"/>
      <c r="F41" s="81"/>
      <c r="G41" s="81"/>
      <c r="H41" s="81"/>
      <c r="I41" s="81"/>
      <c r="J41" s="81"/>
    </row>
    <row r="42" spans="1:10">
      <c r="A42" s="80"/>
      <c r="B42" s="191"/>
      <c r="C42" s="214"/>
      <c r="D42" s="81"/>
      <c r="E42" s="81"/>
      <c r="F42" s="81"/>
      <c r="G42" s="81"/>
      <c r="H42" s="81"/>
      <c r="I42" s="81"/>
      <c r="J42" s="81"/>
    </row>
    <row r="43" spans="1:10">
      <c r="A43" s="82" t="s">
        <v>312</v>
      </c>
      <c r="B43" s="82"/>
      <c r="C43" s="98"/>
      <c r="D43" s="98">
        <f>SUM(D37:D42)</f>
        <v>0</v>
      </c>
      <c r="E43" s="98">
        <f t="shared" ref="E43:J43" si="9">SUM(E37:E42)</f>
        <v>0</v>
      </c>
      <c r="F43" s="98">
        <f t="shared" si="9"/>
        <v>0</v>
      </c>
      <c r="G43" s="98">
        <f t="shared" si="9"/>
        <v>0</v>
      </c>
      <c r="H43" s="98">
        <f t="shared" si="9"/>
        <v>0</v>
      </c>
      <c r="I43" s="98">
        <f t="shared" si="9"/>
        <v>0</v>
      </c>
      <c r="J43" s="98">
        <f t="shared" si="9"/>
        <v>0</v>
      </c>
    </row>
    <row r="44" spans="1:10">
      <c r="A44" s="82"/>
      <c r="B44" s="82"/>
      <c r="C44" s="98"/>
      <c r="D44" s="98"/>
      <c r="E44" s="98"/>
      <c r="F44" s="98"/>
      <c r="G44" s="98"/>
      <c r="H44" s="98"/>
      <c r="I44" s="98"/>
      <c r="J44" s="98"/>
    </row>
    <row r="45" spans="1:10">
      <c r="A45" s="82" t="s">
        <v>127</v>
      </c>
      <c r="B45" s="82"/>
      <c r="C45" s="98"/>
      <c r="D45" s="98">
        <f>D34+D43</f>
        <v>0</v>
      </c>
      <c r="E45" s="98">
        <f t="shared" ref="E45:J45" si="10">E34+E43</f>
        <v>0</v>
      </c>
      <c r="F45" s="98">
        <f t="shared" si="10"/>
        <v>0</v>
      </c>
      <c r="G45" s="98">
        <f t="shared" si="10"/>
        <v>0</v>
      </c>
      <c r="H45" s="98">
        <f t="shared" si="10"/>
        <v>0</v>
      </c>
      <c r="I45" s="98">
        <f t="shared" si="10"/>
        <v>0</v>
      </c>
      <c r="J45" s="98">
        <f t="shared" si="10"/>
        <v>0</v>
      </c>
    </row>
    <row r="46" spans="1:10">
      <c r="A46" s="80"/>
      <c r="B46" s="80"/>
      <c r="C46" s="81"/>
      <c r="D46" s="81"/>
      <c r="E46" s="81"/>
      <c r="F46" s="81"/>
      <c r="G46" s="81"/>
      <c r="H46" s="81"/>
      <c r="I46" s="81"/>
      <c r="J46" s="81"/>
    </row>
    <row r="47" spans="1:10">
      <c r="A47" s="82" t="s">
        <v>126</v>
      </c>
      <c r="B47" s="82"/>
      <c r="C47" s="98"/>
      <c r="D47" s="98">
        <f t="shared" ref="D47:J47" si="11">D23-D45</f>
        <v>0</v>
      </c>
      <c r="E47" s="98">
        <f t="shared" si="11"/>
        <v>0</v>
      </c>
      <c r="F47" s="98">
        <f t="shared" si="11"/>
        <v>0</v>
      </c>
      <c r="G47" s="98">
        <f t="shared" si="11"/>
        <v>0</v>
      </c>
      <c r="H47" s="98">
        <f t="shared" si="11"/>
        <v>0</v>
      </c>
      <c r="I47" s="98">
        <f t="shared" si="11"/>
        <v>0</v>
      </c>
      <c r="J47" s="98">
        <f t="shared" si="11"/>
        <v>0</v>
      </c>
    </row>
    <row r="48" spans="1:10">
      <c r="A48" s="79"/>
      <c r="B48" s="79"/>
      <c r="C48" s="79"/>
      <c r="D48" s="79"/>
      <c r="E48" s="79"/>
      <c r="F48" s="79"/>
      <c r="G48" s="79"/>
      <c r="H48" s="79"/>
      <c r="I48" s="79"/>
      <c r="J48" s="79"/>
    </row>
    <row r="49" spans="1:10">
      <c r="A49" s="79"/>
    </row>
    <row r="51" spans="1:10">
      <c r="A51" s="704" t="s">
        <v>402</v>
      </c>
      <c r="B51" s="704"/>
      <c r="C51" s="704"/>
      <c r="D51" s="704"/>
      <c r="E51" s="704"/>
      <c r="F51" s="704"/>
      <c r="G51" s="704"/>
      <c r="H51" s="704"/>
      <c r="I51" s="704"/>
      <c r="J51" s="704"/>
    </row>
    <row r="53" spans="1:10">
      <c r="A53" t="s">
        <v>480</v>
      </c>
    </row>
    <row r="54" spans="1:10">
      <c r="A54">
        <v>1</v>
      </c>
      <c r="B54" t="s">
        <v>490</v>
      </c>
    </row>
    <row r="55" spans="1:10">
      <c r="A55">
        <v>2</v>
      </c>
      <c r="B55" t="s">
        <v>491</v>
      </c>
    </row>
    <row r="56" spans="1:10">
      <c r="A56">
        <v>3</v>
      </c>
      <c r="B56" s="79" t="s">
        <v>536</v>
      </c>
    </row>
  </sheetData>
  <mergeCells count="4">
    <mergeCell ref="A15:J15"/>
    <mergeCell ref="A2:H2"/>
    <mergeCell ref="A51:J51"/>
    <mergeCell ref="A3:H3"/>
  </mergeCells>
  <pageMargins left="0.7" right="0.7" top="0.75" bottom="0.75" header="0.3" footer="0.3"/>
  <pageSetup paperSize="9" scale="73" orientation="portrait" r:id="rId1"/>
  <colBreaks count="1" manualBreakCount="1">
    <brk id="10" max="1048575" man="1"/>
  </col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P68"/>
  <sheetViews>
    <sheetView view="pageBreakPreview" topLeftCell="A44" zoomScale="55" zoomScaleSheetLayoutView="55" workbookViewId="0">
      <selection activeCell="O54" sqref="O54"/>
    </sheetView>
  </sheetViews>
  <sheetFormatPr defaultRowHeight="15"/>
  <cols>
    <col min="1" max="2" width="29.42578125" customWidth="1"/>
    <col min="3" max="3" width="12.140625" customWidth="1"/>
    <col min="4" max="4" width="10.42578125" bestFit="1" customWidth="1"/>
    <col min="5" max="5" width="13.42578125" customWidth="1"/>
    <col min="6" max="6" width="14" customWidth="1"/>
    <col min="7" max="7" width="13.42578125" customWidth="1"/>
    <col min="8" max="9" width="14" customWidth="1"/>
    <col min="10" max="11" width="14.42578125" customWidth="1"/>
    <col min="12" max="12" width="12.140625" customWidth="1"/>
    <col min="13" max="13" width="16" customWidth="1"/>
    <col min="14" max="14" width="23.28515625" customWidth="1"/>
    <col min="18" max="18" width="12.7109375" bestFit="1" customWidth="1"/>
  </cols>
  <sheetData>
    <row r="3" spans="1:13" ht="18.75">
      <c r="A3" s="703" t="s">
        <v>528</v>
      </c>
      <c r="B3" s="703"/>
      <c r="C3" s="703"/>
      <c r="D3" s="703"/>
      <c r="E3" s="703"/>
      <c r="F3" s="703"/>
      <c r="G3" s="703"/>
      <c r="H3" s="703"/>
      <c r="I3" s="703"/>
      <c r="J3" s="703"/>
      <c r="K3" s="703"/>
      <c r="L3" s="703"/>
    </row>
    <row r="4" spans="1:13" ht="18.75">
      <c r="A4" s="703" t="s">
        <v>529</v>
      </c>
      <c r="B4" s="703"/>
      <c r="C4" s="703"/>
      <c r="D4" s="703"/>
      <c r="E4" s="703"/>
      <c r="F4" s="703"/>
      <c r="G4" s="703"/>
      <c r="H4" s="703"/>
      <c r="I4" s="703"/>
      <c r="J4" s="703"/>
      <c r="K4" s="703"/>
      <c r="L4" s="703"/>
    </row>
    <row r="5" spans="1:13">
      <c r="A5" s="79"/>
      <c r="B5" s="79"/>
      <c r="C5" s="79"/>
    </row>
    <row r="6" spans="1:13">
      <c r="A6" s="79"/>
      <c r="B6" s="79"/>
      <c r="C6" s="79"/>
    </row>
    <row r="7" spans="1:13" ht="45">
      <c r="A7" s="248" t="s">
        <v>140</v>
      </c>
      <c r="B7" s="249" t="s">
        <v>410</v>
      </c>
      <c r="C7" s="249" t="s">
        <v>418</v>
      </c>
      <c r="D7" s="249" t="s">
        <v>416</v>
      </c>
      <c r="E7" s="249" t="s">
        <v>417</v>
      </c>
      <c r="F7" s="249" t="s">
        <v>295</v>
      </c>
      <c r="G7" s="249" t="s">
        <v>419</v>
      </c>
      <c r="H7" s="249" t="s">
        <v>420</v>
      </c>
      <c r="I7" s="249" t="s">
        <v>421</v>
      </c>
      <c r="J7" s="251" t="s">
        <v>424</v>
      </c>
      <c r="K7" s="249" t="s">
        <v>422</v>
      </c>
      <c r="L7" s="251" t="s">
        <v>423</v>
      </c>
      <c r="M7" s="249" t="s">
        <v>426</v>
      </c>
    </row>
    <row r="8" spans="1:13">
      <c r="A8" s="250">
        <v>1</v>
      </c>
      <c r="B8" s="245" t="s">
        <v>411</v>
      </c>
      <c r="C8" s="245"/>
      <c r="D8" s="245"/>
      <c r="E8" s="245">
        <v>6</v>
      </c>
      <c r="F8" s="253">
        <f>D8*E8*C8</f>
        <v>0</v>
      </c>
      <c r="G8" s="245">
        <v>4</v>
      </c>
      <c r="H8" s="253">
        <f>F8/G8</f>
        <v>0</v>
      </c>
      <c r="I8" s="245">
        <v>12</v>
      </c>
      <c r="J8" s="253">
        <f>H8*I8</f>
        <v>0</v>
      </c>
      <c r="K8" s="245">
        <v>3000</v>
      </c>
      <c r="L8" s="245">
        <v>1</v>
      </c>
      <c r="M8" s="253">
        <f t="shared" ref="M8:M17" si="0">D8*L8</f>
        <v>0</v>
      </c>
    </row>
    <row r="9" spans="1:13">
      <c r="A9" s="250">
        <v>2</v>
      </c>
      <c r="B9" s="245" t="s">
        <v>412</v>
      </c>
      <c r="C9" s="245"/>
      <c r="D9" s="245"/>
      <c r="E9" s="245">
        <v>6</v>
      </c>
      <c r="F9" s="253">
        <f t="shared" ref="F9:F17" si="1">D9*E9*C9</f>
        <v>0</v>
      </c>
      <c r="G9" s="245">
        <v>2</v>
      </c>
      <c r="H9" s="253">
        <f>F9/G9</f>
        <v>0</v>
      </c>
      <c r="I9" s="245">
        <v>8</v>
      </c>
      <c r="J9" s="253">
        <f t="shared" ref="J9:J17" si="2">H9*I9</f>
        <v>0</v>
      </c>
      <c r="K9" s="245">
        <v>1800</v>
      </c>
      <c r="L9" s="245">
        <v>1</v>
      </c>
      <c r="M9" s="253">
        <f t="shared" si="0"/>
        <v>0</v>
      </c>
    </row>
    <row r="10" spans="1:13">
      <c r="A10" s="250">
        <v>3</v>
      </c>
      <c r="B10" s="245" t="s">
        <v>413</v>
      </c>
      <c r="C10" s="245"/>
      <c r="D10" s="245"/>
      <c r="E10" s="245">
        <v>6</v>
      </c>
      <c r="F10" s="253">
        <f t="shared" si="1"/>
        <v>0</v>
      </c>
      <c r="G10" s="245">
        <v>2</v>
      </c>
      <c r="H10" s="253">
        <f>F10/G10</f>
        <v>0</v>
      </c>
      <c r="I10" s="245">
        <v>8</v>
      </c>
      <c r="J10" s="253">
        <f t="shared" si="2"/>
        <v>0</v>
      </c>
      <c r="K10" s="245">
        <v>1800</v>
      </c>
      <c r="L10" s="245">
        <v>1</v>
      </c>
      <c r="M10" s="253">
        <f t="shared" si="0"/>
        <v>0</v>
      </c>
    </row>
    <row r="11" spans="1:13">
      <c r="A11" s="250">
        <v>4</v>
      </c>
      <c r="B11" s="245" t="s">
        <v>414</v>
      </c>
      <c r="C11" s="245"/>
      <c r="D11" s="245"/>
      <c r="E11" s="245">
        <v>6</v>
      </c>
      <c r="F11" s="253">
        <f t="shared" si="1"/>
        <v>0</v>
      </c>
      <c r="G11" s="245">
        <v>2</v>
      </c>
      <c r="H11" s="253">
        <f>F11/G11</f>
        <v>0</v>
      </c>
      <c r="I11" s="245">
        <v>4</v>
      </c>
      <c r="J11" s="253">
        <f t="shared" si="2"/>
        <v>0</v>
      </c>
      <c r="K11" s="245">
        <v>1200</v>
      </c>
      <c r="L11" s="245">
        <v>1</v>
      </c>
      <c r="M11" s="253">
        <f t="shared" si="0"/>
        <v>0</v>
      </c>
    </row>
    <row r="12" spans="1:13">
      <c r="A12" s="250">
        <v>5</v>
      </c>
      <c r="B12" s="245" t="s">
        <v>415</v>
      </c>
      <c r="C12" s="245"/>
      <c r="D12" s="245"/>
      <c r="E12" s="245">
        <v>6</v>
      </c>
      <c r="F12" s="253">
        <f t="shared" si="1"/>
        <v>0</v>
      </c>
      <c r="G12" s="245">
        <v>2</v>
      </c>
      <c r="H12" s="253">
        <f>F12/G12</f>
        <v>0</v>
      </c>
      <c r="I12" s="245">
        <v>10</v>
      </c>
      <c r="J12" s="253">
        <f t="shared" si="2"/>
        <v>0</v>
      </c>
      <c r="K12" s="245">
        <v>3000</v>
      </c>
      <c r="L12" s="245">
        <v>1</v>
      </c>
      <c r="M12" s="253">
        <f t="shared" si="0"/>
        <v>0</v>
      </c>
    </row>
    <row r="13" spans="1:13">
      <c r="A13" s="250">
        <v>6</v>
      </c>
      <c r="B13" s="10"/>
      <c r="C13" s="10"/>
      <c r="D13" s="10"/>
      <c r="E13" s="10"/>
      <c r="F13" s="253">
        <f t="shared" si="1"/>
        <v>0</v>
      </c>
      <c r="G13" s="10">
        <v>0</v>
      </c>
      <c r="H13" s="245"/>
      <c r="I13" s="10"/>
      <c r="J13" s="253">
        <f t="shared" si="2"/>
        <v>0</v>
      </c>
      <c r="K13" s="10"/>
      <c r="L13" s="253"/>
      <c r="M13" s="253">
        <f t="shared" si="0"/>
        <v>0</v>
      </c>
    </row>
    <row r="14" spans="1:13">
      <c r="A14" s="250">
        <v>7</v>
      </c>
      <c r="B14" s="10"/>
      <c r="C14" s="10"/>
      <c r="D14" s="10"/>
      <c r="E14" s="10"/>
      <c r="F14" s="253">
        <f t="shared" si="1"/>
        <v>0</v>
      </c>
      <c r="G14" s="10">
        <v>0</v>
      </c>
      <c r="H14" s="245"/>
      <c r="I14" s="10"/>
      <c r="J14" s="253">
        <f t="shared" si="2"/>
        <v>0</v>
      </c>
      <c r="K14" s="10"/>
      <c r="L14" s="253"/>
      <c r="M14" s="253">
        <f t="shared" si="0"/>
        <v>0</v>
      </c>
    </row>
    <row r="15" spans="1:13">
      <c r="A15" s="250">
        <v>8</v>
      </c>
      <c r="B15" s="10"/>
      <c r="C15" s="10"/>
      <c r="D15" s="10"/>
      <c r="E15" s="10"/>
      <c r="F15" s="253">
        <f t="shared" si="1"/>
        <v>0</v>
      </c>
      <c r="G15" s="10">
        <v>0</v>
      </c>
      <c r="H15" s="245"/>
      <c r="I15" s="10"/>
      <c r="J15" s="253">
        <f t="shared" si="2"/>
        <v>0</v>
      </c>
      <c r="K15" s="10"/>
      <c r="L15" s="253"/>
      <c r="M15" s="253">
        <f t="shared" si="0"/>
        <v>0</v>
      </c>
    </row>
    <row r="16" spans="1:13">
      <c r="A16" s="250">
        <v>9</v>
      </c>
      <c r="B16" s="10"/>
      <c r="C16" s="10"/>
      <c r="D16" s="10"/>
      <c r="E16" s="10"/>
      <c r="F16" s="253">
        <f t="shared" si="1"/>
        <v>0</v>
      </c>
      <c r="G16" s="10">
        <v>0</v>
      </c>
      <c r="H16" s="245"/>
      <c r="I16" s="10"/>
      <c r="J16" s="253">
        <f t="shared" si="2"/>
        <v>0</v>
      </c>
      <c r="K16" s="10"/>
      <c r="L16" s="253"/>
      <c r="M16" s="253">
        <f t="shared" si="0"/>
        <v>0</v>
      </c>
    </row>
    <row r="17" spans="1:16">
      <c r="A17" s="250">
        <v>10</v>
      </c>
      <c r="B17" s="10"/>
      <c r="C17" s="10"/>
      <c r="D17" s="10"/>
      <c r="E17" s="10"/>
      <c r="F17" s="253">
        <f t="shared" si="1"/>
        <v>0</v>
      </c>
      <c r="G17" s="10">
        <v>0</v>
      </c>
      <c r="H17" s="245"/>
      <c r="I17" s="10"/>
      <c r="J17" s="253">
        <f t="shared" si="2"/>
        <v>0</v>
      </c>
      <c r="K17" s="10"/>
      <c r="L17" s="253"/>
      <c r="M17" s="253">
        <f t="shared" si="0"/>
        <v>0</v>
      </c>
    </row>
    <row r="18" spans="1:16">
      <c r="A18" s="15"/>
      <c r="B18" s="15"/>
      <c r="C18" s="254"/>
      <c r="D18" s="254"/>
      <c r="E18" s="254"/>
      <c r="F18" s="254"/>
      <c r="G18" s="254"/>
      <c r="H18" s="254"/>
      <c r="I18" s="254"/>
      <c r="J18" s="254"/>
      <c r="K18" s="254"/>
      <c r="L18" s="254"/>
      <c r="M18" s="252"/>
    </row>
    <row r="19" spans="1:16">
      <c r="A19" s="15"/>
      <c r="B19" s="15"/>
      <c r="C19" s="254"/>
      <c r="D19" s="254"/>
      <c r="E19" s="254"/>
      <c r="F19" s="254"/>
      <c r="G19" s="254"/>
      <c r="H19" s="254"/>
      <c r="I19" s="254"/>
      <c r="J19" s="254"/>
      <c r="K19" s="254"/>
      <c r="L19" s="254"/>
      <c r="M19" s="252"/>
    </row>
    <row r="21" spans="1:16" ht="18.75">
      <c r="A21" s="703" t="s">
        <v>530</v>
      </c>
      <c r="B21" s="703"/>
      <c r="C21" s="703"/>
      <c r="D21" s="703"/>
      <c r="E21" s="703"/>
      <c r="F21" s="703"/>
      <c r="G21" s="703"/>
      <c r="H21" s="703"/>
      <c r="I21" s="703"/>
      <c r="J21" s="703"/>
      <c r="K21" s="703"/>
    </row>
    <row r="23" spans="1:16">
      <c r="A23" s="79"/>
      <c r="B23" s="79"/>
      <c r="C23" s="79"/>
      <c r="D23" s="79"/>
      <c r="E23" s="144">
        <v>1</v>
      </c>
      <c r="F23" s="147">
        <f>(E23*5%)+E23</f>
        <v>1.05</v>
      </c>
      <c r="G23" s="147">
        <f t="shared" ref="G23:K23" si="3">(F23*5%)+F23</f>
        <v>1.1025</v>
      </c>
      <c r="H23" s="147">
        <f t="shared" si="3"/>
        <v>1.1576250000000001</v>
      </c>
      <c r="I23" s="147">
        <f t="shared" si="3"/>
        <v>1.2155062500000002</v>
      </c>
      <c r="J23" s="147">
        <f t="shared" si="3"/>
        <v>1.2762815625000004</v>
      </c>
      <c r="K23" s="147">
        <f t="shared" si="3"/>
        <v>1.3400956406250004</v>
      </c>
    </row>
    <row r="24" spans="1:16">
      <c r="A24" s="123" t="s">
        <v>0</v>
      </c>
      <c r="B24" s="123" t="s">
        <v>128</v>
      </c>
      <c r="C24" s="123" t="s">
        <v>141</v>
      </c>
      <c r="D24" s="123" t="s">
        <v>148</v>
      </c>
      <c r="E24" s="103" t="s">
        <v>2</v>
      </c>
      <c r="F24" s="103" t="s">
        <v>3</v>
      </c>
      <c r="G24" s="103" t="s">
        <v>4</v>
      </c>
      <c r="H24" s="103" t="s">
        <v>5</v>
      </c>
      <c r="I24" s="103" t="s">
        <v>6</v>
      </c>
      <c r="J24" s="103" t="s">
        <v>163</v>
      </c>
      <c r="K24" s="103" t="s">
        <v>162</v>
      </c>
    </row>
    <row r="25" spans="1:16">
      <c r="A25" s="82"/>
      <c r="B25" s="82"/>
      <c r="C25" s="82"/>
      <c r="D25" s="82"/>
      <c r="E25" s="80"/>
      <c r="F25" s="80"/>
      <c r="G25" s="80"/>
      <c r="H25" s="80"/>
      <c r="I25" s="80"/>
      <c r="J25" s="80"/>
      <c r="K25" s="80"/>
    </row>
    <row r="26" spans="1:16">
      <c r="A26" s="82" t="s">
        <v>124</v>
      </c>
      <c r="B26" s="82"/>
      <c r="C26" s="82"/>
      <c r="D26" s="82"/>
      <c r="E26" s="80"/>
      <c r="F26" s="80"/>
      <c r="G26" s="80"/>
      <c r="H26" s="80"/>
      <c r="I26" s="80"/>
      <c r="J26" s="80"/>
      <c r="K26" s="80"/>
      <c r="P26" s="79"/>
    </row>
    <row r="27" spans="1:16">
      <c r="A27" s="159" t="s">
        <v>428</v>
      </c>
      <c r="B27" s="92"/>
      <c r="C27" s="255"/>
      <c r="D27" s="255"/>
      <c r="E27" s="81"/>
      <c r="F27" s="81"/>
      <c r="G27" s="81"/>
      <c r="H27" s="81"/>
      <c r="I27" s="81"/>
      <c r="J27" s="81"/>
      <c r="K27" s="81"/>
      <c r="P27" s="79"/>
    </row>
    <row r="28" spans="1:16">
      <c r="A28" s="92" t="str">
        <f>B8</f>
        <v>Double Plough</v>
      </c>
      <c r="B28" s="92"/>
      <c r="C28" s="255">
        <f>H8</f>
        <v>0</v>
      </c>
      <c r="D28" s="255">
        <f>K8</f>
        <v>3000</v>
      </c>
      <c r="E28" s="81">
        <f>$C$28*$D$28*E23</f>
        <v>0</v>
      </c>
      <c r="F28" s="81">
        <f t="shared" ref="F28:K28" si="4">$C$28*$D$28*F23</f>
        <v>0</v>
      </c>
      <c r="G28" s="81">
        <f t="shared" si="4"/>
        <v>0</v>
      </c>
      <c r="H28" s="81">
        <f t="shared" si="4"/>
        <v>0</v>
      </c>
      <c r="I28" s="81">
        <f t="shared" si="4"/>
        <v>0</v>
      </c>
      <c r="J28" s="81">
        <f t="shared" si="4"/>
        <v>0</v>
      </c>
      <c r="K28" s="81">
        <f t="shared" si="4"/>
        <v>0</v>
      </c>
      <c r="P28" s="79"/>
    </row>
    <row r="29" spans="1:16">
      <c r="A29" s="92" t="str">
        <f>B9</f>
        <v>Cultivator</v>
      </c>
      <c r="B29" s="92"/>
      <c r="C29" s="255">
        <f t="shared" ref="C29:C38" si="5">H9</f>
        <v>0</v>
      </c>
      <c r="D29" s="255">
        <f>K9</f>
        <v>1800</v>
      </c>
      <c r="E29" s="81">
        <f>$C$29*$D$29*E23</f>
        <v>0</v>
      </c>
      <c r="F29" s="81">
        <f t="shared" ref="F29:K29" si="6">$C$29*$D$29*F23</f>
        <v>0</v>
      </c>
      <c r="G29" s="81">
        <f t="shared" si="6"/>
        <v>0</v>
      </c>
      <c r="H29" s="81">
        <f t="shared" si="6"/>
        <v>0</v>
      </c>
      <c r="I29" s="81">
        <f t="shared" si="6"/>
        <v>0</v>
      </c>
      <c r="J29" s="81">
        <f t="shared" si="6"/>
        <v>0</v>
      </c>
      <c r="K29" s="81">
        <f t="shared" si="6"/>
        <v>0</v>
      </c>
      <c r="P29" s="79"/>
    </row>
    <row r="30" spans="1:16">
      <c r="A30" s="92" t="str">
        <f>B10</f>
        <v>Rotavator</v>
      </c>
      <c r="B30" s="92"/>
      <c r="C30" s="255">
        <f t="shared" si="5"/>
        <v>0</v>
      </c>
      <c r="D30" s="255">
        <f>K10</f>
        <v>1800</v>
      </c>
      <c r="E30" s="81">
        <f>$C$30*$D$30*E23</f>
        <v>0</v>
      </c>
      <c r="F30" s="81">
        <f t="shared" ref="F30:K30" si="7">$C$30*$D$30*F23</f>
        <v>0</v>
      </c>
      <c r="G30" s="81">
        <f t="shared" si="7"/>
        <v>0</v>
      </c>
      <c r="H30" s="81">
        <f t="shared" si="7"/>
        <v>0</v>
      </c>
      <c r="I30" s="81">
        <f t="shared" si="7"/>
        <v>0</v>
      </c>
      <c r="J30" s="81">
        <f t="shared" si="7"/>
        <v>0</v>
      </c>
      <c r="K30" s="81">
        <f t="shared" si="7"/>
        <v>0</v>
      </c>
      <c r="P30" s="79"/>
    </row>
    <row r="31" spans="1:16">
      <c r="A31" s="92" t="str">
        <f>B11</f>
        <v>BBF Seed Sowing Machine</v>
      </c>
      <c r="B31" s="92"/>
      <c r="C31" s="255">
        <f t="shared" si="5"/>
        <v>0</v>
      </c>
      <c r="D31" s="255">
        <f>K11</f>
        <v>1200</v>
      </c>
      <c r="E31" s="81">
        <f>$C$31*$D$31*E23</f>
        <v>0</v>
      </c>
      <c r="F31" s="81">
        <f t="shared" ref="F31:K31" si="8">$C$31*$D$31*F23</f>
        <v>0</v>
      </c>
      <c r="G31" s="81">
        <f t="shared" si="8"/>
        <v>0</v>
      </c>
      <c r="H31" s="81">
        <f t="shared" si="8"/>
        <v>0</v>
      </c>
      <c r="I31" s="81">
        <f t="shared" si="8"/>
        <v>0</v>
      </c>
      <c r="J31" s="81">
        <f t="shared" si="8"/>
        <v>0</v>
      </c>
      <c r="K31" s="81">
        <f t="shared" si="8"/>
        <v>0</v>
      </c>
      <c r="P31" s="79"/>
    </row>
    <row r="32" spans="1:16">
      <c r="A32" s="92" t="str">
        <f>B12</f>
        <v>Mobile Threshing</v>
      </c>
      <c r="B32" s="92"/>
      <c r="C32" s="255">
        <f t="shared" si="5"/>
        <v>0</v>
      </c>
      <c r="D32" s="255">
        <f>K12</f>
        <v>3000</v>
      </c>
      <c r="E32" s="81">
        <f>$C$32*$D$32*E23</f>
        <v>0</v>
      </c>
      <c r="F32" s="81">
        <f t="shared" ref="F32:K32" si="9">$C$32*$D$32*F23</f>
        <v>0</v>
      </c>
      <c r="G32" s="81">
        <f t="shared" si="9"/>
        <v>0</v>
      </c>
      <c r="H32" s="81">
        <f t="shared" si="9"/>
        <v>0</v>
      </c>
      <c r="I32" s="81">
        <f t="shared" si="9"/>
        <v>0</v>
      </c>
      <c r="J32" s="81">
        <f t="shared" si="9"/>
        <v>0</v>
      </c>
      <c r="K32" s="81">
        <f t="shared" si="9"/>
        <v>0</v>
      </c>
      <c r="P32" s="79"/>
    </row>
    <row r="33" spans="1:16">
      <c r="A33" s="92"/>
      <c r="B33" s="92"/>
      <c r="C33" s="255">
        <f t="shared" si="5"/>
        <v>0</v>
      </c>
      <c r="D33" s="255">
        <f t="shared" ref="D33:D38" si="10">K13</f>
        <v>0</v>
      </c>
      <c r="E33" s="81">
        <f>$C$33*$D$33*E23</f>
        <v>0</v>
      </c>
      <c r="F33" s="81">
        <f t="shared" ref="F33:K33" si="11">$C$33*$D$33*F23</f>
        <v>0</v>
      </c>
      <c r="G33" s="81">
        <f t="shared" si="11"/>
        <v>0</v>
      </c>
      <c r="H33" s="81">
        <f t="shared" si="11"/>
        <v>0</v>
      </c>
      <c r="I33" s="81">
        <f t="shared" si="11"/>
        <v>0</v>
      </c>
      <c r="J33" s="81">
        <f t="shared" si="11"/>
        <v>0</v>
      </c>
      <c r="K33" s="81">
        <f t="shared" si="11"/>
        <v>0</v>
      </c>
      <c r="P33" s="79"/>
    </row>
    <row r="34" spans="1:16">
      <c r="A34" s="92"/>
      <c r="B34" s="92"/>
      <c r="C34" s="255">
        <f t="shared" si="5"/>
        <v>0</v>
      </c>
      <c r="D34" s="255">
        <f t="shared" si="10"/>
        <v>0</v>
      </c>
      <c r="E34" s="81">
        <f>$C$34*$D$34*E23</f>
        <v>0</v>
      </c>
      <c r="F34" s="81">
        <f t="shared" ref="F34:K34" si="12">$C$34*$D$34*F23</f>
        <v>0</v>
      </c>
      <c r="G34" s="81">
        <f t="shared" si="12"/>
        <v>0</v>
      </c>
      <c r="H34" s="81">
        <f t="shared" si="12"/>
        <v>0</v>
      </c>
      <c r="I34" s="81">
        <f t="shared" si="12"/>
        <v>0</v>
      </c>
      <c r="J34" s="81">
        <f t="shared" si="12"/>
        <v>0</v>
      </c>
      <c r="K34" s="81">
        <f t="shared" si="12"/>
        <v>0</v>
      </c>
      <c r="P34" s="79"/>
    </row>
    <row r="35" spans="1:16">
      <c r="A35" s="92"/>
      <c r="B35" s="92"/>
      <c r="C35" s="255">
        <f t="shared" si="5"/>
        <v>0</v>
      </c>
      <c r="D35" s="255">
        <f t="shared" si="10"/>
        <v>0</v>
      </c>
      <c r="E35" s="81">
        <f>$C$35*$D$35*E23</f>
        <v>0</v>
      </c>
      <c r="F35" s="81">
        <f t="shared" ref="F35:K35" si="13">$C$35*$D$35*F23</f>
        <v>0</v>
      </c>
      <c r="G35" s="81">
        <f t="shared" si="13"/>
        <v>0</v>
      </c>
      <c r="H35" s="81">
        <f t="shared" si="13"/>
        <v>0</v>
      </c>
      <c r="I35" s="81">
        <f t="shared" si="13"/>
        <v>0</v>
      </c>
      <c r="J35" s="81">
        <f t="shared" si="13"/>
        <v>0</v>
      </c>
      <c r="K35" s="81">
        <f t="shared" si="13"/>
        <v>0</v>
      </c>
      <c r="P35" s="79"/>
    </row>
    <row r="36" spans="1:16">
      <c r="A36" s="92"/>
      <c r="B36" s="92"/>
      <c r="C36" s="255">
        <f t="shared" si="5"/>
        <v>0</v>
      </c>
      <c r="D36" s="255">
        <f t="shared" si="10"/>
        <v>0</v>
      </c>
      <c r="E36" s="81">
        <f>$C$36*$D$36*E23</f>
        <v>0</v>
      </c>
      <c r="F36" s="81">
        <f t="shared" ref="F36:K36" si="14">$C$36*$D$36*F23</f>
        <v>0</v>
      </c>
      <c r="G36" s="81">
        <f t="shared" si="14"/>
        <v>0</v>
      </c>
      <c r="H36" s="81">
        <f t="shared" si="14"/>
        <v>0</v>
      </c>
      <c r="I36" s="81">
        <f t="shared" si="14"/>
        <v>0</v>
      </c>
      <c r="J36" s="81">
        <f t="shared" si="14"/>
        <v>0</v>
      </c>
      <c r="K36" s="81">
        <f t="shared" si="14"/>
        <v>0</v>
      </c>
      <c r="P36" s="79"/>
    </row>
    <row r="37" spans="1:16">
      <c r="A37" s="92"/>
      <c r="B37" s="92"/>
      <c r="C37" s="255">
        <f t="shared" si="5"/>
        <v>0</v>
      </c>
      <c r="D37" s="255">
        <f t="shared" si="10"/>
        <v>0</v>
      </c>
      <c r="E37" s="81">
        <f>$C$37*$D$37*E23</f>
        <v>0</v>
      </c>
      <c r="F37" s="81">
        <f t="shared" ref="F37:K37" si="15">$C$37*$D$37*F23</f>
        <v>0</v>
      </c>
      <c r="G37" s="81">
        <f t="shared" si="15"/>
        <v>0</v>
      </c>
      <c r="H37" s="81">
        <f t="shared" si="15"/>
        <v>0</v>
      </c>
      <c r="I37" s="81">
        <f t="shared" si="15"/>
        <v>0</v>
      </c>
      <c r="J37" s="81">
        <f t="shared" si="15"/>
        <v>0</v>
      </c>
      <c r="K37" s="81">
        <f t="shared" si="15"/>
        <v>0</v>
      </c>
      <c r="P37" s="79"/>
    </row>
    <row r="38" spans="1:16">
      <c r="A38" s="82"/>
      <c r="B38" s="82"/>
      <c r="C38" s="255">
        <f t="shared" si="5"/>
        <v>0</v>
      </c>
      <c r="D38" s="255">
        <f t="shared" si="10"/>
        <v>0</v>
      </c>
      <c r="E38" s="81">
        <f>$C$38*$D$38*E23</f>
        <v>0</v>
      </c>
      <c r="F38" s="81">
        <f t="shared" ref="F38:K38" si="16">$C$38*$D$38*F23</f>
        <v>0</v>
      </c>
      <c r="G38" s="81">
        <f t="shared" si="16"/>
        <v>0</v>
      </c>
      <c r="H38" s="81">
        <f t="shared" si="16"/>
        <v>0</v>
      </c>
      <c r="I38" s="81">
        <f t="shared" si="16"/>
        <v>0</v>
      </c>
      <c r="J38" s="81">
        <f t="shared" si="16"/>
        <v>0</v>
      </c>
      <c r="K38" s="81">
        <f t="shared" si="16"/>
        <v>0</v>
      </c>
      <c r="P38" s="79"/>
    </row>
    <row r="39" spans="1:16">
      <c r="A39" s="82" t="s">
        <v>138</v>
      </c>
      <c r="B39" s="82"/>
      <c r="C39" s="86"/>
      <c r="D39" s="86"/>
      <c r="E39" s="81">
        <f>SUM(E28:E38)</f>
        <v>0</v>
      </c>
      <c r="F39" s="81">
        <f t="shared" ref="F39:K39" si="17">SUM(F28:F38)</f>
        <v>0</v>
      </c>
      <c r="G39" s="81">
        <f t="shared" si="17"/>
        <v>0</v>
      </c>
      <c r="H39" s="81">
        <f t="shared" si="17"/>
        <v>0</v>
      </c>
      <c r="I39" s="81">
        <f t="shared" si="17"/>
        <v>0</v>
      </c>
      <c r="J39" s="81">
        <f t="shared" si="17"/>
        <v>0</v>
      </c>
      <c r="K39" s="81">
        <f t="shared" si="17"/>
        <v>0</v>
      </c>
      <c r="P39" s="79"/>
    </row>
    <row r="40" spans="1:16">
      <c r="A40" s="80"/>
      <c r="B40" s="80"/>
      <c r="C40" s="84"/>
      <c r="D40" s="84"/>
      <c r="E40" s="81"/>
      <c r="F40" s="81"/>
      <c r="G40" s="81"/>
      <c r="H40" s="81"/>
      <c r="I40" s="81"/>
      <c r="J40" s="81"/>
      <c r="K40" s="81"/>
      <c r="P40" s="79"/>
    </row>
    <row r="41" spans="1:16">
      <c r="A41" s="82" t="s">
        <v>137</v>
      </c>
      <c r="B41" s="82"/>
      <c r="C41" s="86"/>
      <c r="D41" s="86"/>
      <c r="E41" s="81"/>
      <c r="F41" s="81"/>
      <c r="G41" s="81"/>
      <c r="H41" s="81"/>
      <c r="I41" s="81"/>
      <c r="J41" s="81"/>
      <c r="K41" s="81"/>
      <c r="P41" s="79"/>
    </row>
    <row r="42" spans="1:16">
      <c r="A42" s="82" t="s">
        <v>296</v>
      </c>
      <c r="B42" s="82"/>
      <c r="C42" s="86"/>
      <c r="D42" s="86"/>
      <c r="E42" s="81"/>
      <c r="F42" s="81"/>
      <c r="G42" s="81"/>
      <c r="H42" s="81"/>
      <c r="I42" s="81"/>
      <c r="J42" s="81"/>
      <c r="K42" s="81"/>
    </row>
    <row r="43" spans="1:16">
      <c r="A43" s="80" t="s">
        <v>297</v>
      </c>
      <c r="B43" s="80" t="s">
        <v>425</v>
      </c>
      <c r="C43" s="84">
        <f>SUM(J8:J17)</f>
        <v>0</v>
      </c>
      <c r="D43" s="191">
        <v>100</v>
      </c>
      <c r="E43" s="81">
        <f>$C$43*$D$43*E23</f>
        <v>0</v>
      </c>
      <c r="F43" s="81">
        <f t="shared" ref="F43:K43" si="18">$C$43*$D$43*F23</f>
        <v>0</v>
      </c>
      <c r="G43" s="81">
        <f t="shared" si="18"/>
        <v>0</v>
      </c>
      <c r="H43" s="81">
        <f t="shared" si="18"/>
        <v>0</v>
      </c>
      <c r="I43" s="81">
        <f t="shared" si="18"/>
        <v>0</v>
      </c>
      <c r="J43" s="81">
        <f t="shared" si="18"/>
        <v>0</v>
      </c>
      <c r="K43" s="81">
        <f t="shared" si="18"/>
        <v>0</v>
      </c>
    </row>
    <row r="44" spans="1:16">
      <c r="A44" s="80" t="s">
        <v>298</v>
      </c>
      <c r="B44" s="80" t="s">
        <v>427</v>
      </c>
      <c r="C44" s="84">
        <f>SUM(M8:M17)</f>
        <v>0</v>
      </c>
      <c r="D44" s="191">
        <v>300</v>
      </c>
      <c r="E44" s="81">
        <f>$C$44*$D$44*E23</f>
        <v>0</v>
      </c>
      <c r="F44" s="81">
        <f t="shared" ref="F44:K44" si="19">$C$44*$D$44*F23</f>
        <v>0</v>
      </c>
      <c r="G44" s="81">
        <f t="shared" si="19"/>
        <v>0</v>
      </c>
      <c r="H44" s="81">
        <f t="shared" si="19"/>
        <v>0</v>
      </c>
      <c r="I44" s="81">
        <f t="shared" si="19"/>
        <v>0</v>
      </c>
      <c r="J44" s="81">
        <f t="shared" si="19"/>
        <v>0</v>
      </c>
      <c r="K44" s="81">
        <f t="shared" si="19"/>
        <v>0</v>
      </c>
    </row>
    <row r="45" spans="1:16">
      <c r="A45" s="80"/>
      <c r="B45" s="80"/>
      <c r="C45" s="191"/>
      <c r="D45" s="191"/>
      <c r="E45" s="81"/>
      <c r="F45" s="81"/>
      <c r="G45" s="81"/>
      <c r="H45" s="81"/>
      <c r="I45" s="81"/>
      <c r="J45" s="81"/>
      <c r="K45" s="81"/>
    </row>
    <row r="46" spans="1:16">
      <c r="A46" s="80"/>
      <c r="B46" s="80"/>
      <c r="C46" s="191"/>
      <c r="D46" s="191"/>
      <c r="E46" s="81"/>
      <c r="F46" s="81"/>
      <c r="G46" s="81"/>
      <c r="H46" s="81"/>
      <c r="I46" s="81"/>
      <c r="J46" s="81"/>
      <c r="K46" s="81"/>
    </row>
    <row r="47" spans="1:16">
      <c r="A47" s="80"/>
      <c r="B47" s="80"/>
      <c r="C47" s="191"/>
      <c r="D47" s="191"/>
      <c r="E47" s="81"/>
      <c r="F47" s="81"/>
      <c r="G47" s="81"/>
      <c r="H47" s="81"/>
      <c r="I47" s="81"/>
      <c r="J47" s="81"/>
      <c r="K47" s="81"/>
    </row>
    <row r="48" spans="1:16">
      <c r="A48" s="80"/>
      <c r="B48" s="80"/>
      <c r="C48" s="191"/>
      <c r="D48" s="191"/>
      <c r="E48" s="81"/>
      <c r="F48" s="81"/>
      <c r="G48" s="81"/>
      <c r="H48" s="81"/>
      <c r="I48" s="81"/>
      <c r="J48" s="81"/>
      <c r="K48" s="81"/>
    </row>
    <row r="49" spans="1:12">
      <c r="A49" s="82" t="s">
        <v>308</v>
      </c>
      <c r="B49" s="82"/>
      <c r="C49" s="196"/>
      <c r="D49" s="196"/>
      <c r="E49" s="98">
        <f>SUM(E43:E48)</f>
        <v>0</v>
      </c>
      <c r="F49" s="98">
        <f t="shared" ref="F49:K49" si="20">SUM(F43:F48)</f>
        <v>0</v>
      </c>
      <c r="G49" s="98">
        <f t="shared" si="20"/>
        <v>0</v>
      </c>
      <c r="H49" s="98">
        <f t="shared" si="20"/>
        <v>0</v>
      </c>
      <c r="I49" s="98">
        <f t="shared" si="20"/>
        <v>0</v>
      </c>
      <c r="J49" s="98">
        <f t="shared" si="20"/>
        <v>0</v>
      </c>
      <c r="K49" s="98">
        <f t="shared" si="20"/>
        <v>0</v>
      </c>
    </row>
    <row r="50" spans="1:12">
      <c r="A50" s="82"/>
      <c r="B50" s="82"/>
      <c r="C50" s="196"/>
      <c r="D50" s="196"/>
      <c r="E50" s="98"/>
      <c r="F50" s="98"/>
      <c r="G50" s="98"/>
      <c r="H50" s="98"/>
      <c r="I50" s="98"/>
      <c r="J50" s="98"/>
      <c r="K50" s="98"/>
    </row>
    <row r="51" spans="1:12">
      <c r="A51" s="159" t="s">
        <v>299</v>
      </c>
      <c r="B51" s="159"/>
      <c r="C51" s="216"/>
      <c r="D51" s="216"/>
      <c r="E51" s="81"/>
      <c r="F51" s="81"/>
      <c r="G51" s="81"/>
      <c r="H51" s="81"/>
      <c r="I51" s="81"/>
      <c r="J51" s="81"/>
      <c r="K51" s="81"/>
    </row>
    <row r="52" spans="1:12">
      <c r="A52" s="92" t="s">
        <v>300</v>
      </c>
      <c r="B52" s="80" t="s">
        <v>378</v>
      </c>
      <c r="C52" s="216">
        <v>1</v>
      </c>
      <c r="D52" s="217"/>
      <c r="E52" s="81">
        <f t="shared" ref="E52:K52" si="21">$C$52*$D$52*12*E23</f>
        <v>0</v>
      </c>
      <c r="F52" s="81">
        <f t="shared" si="21"/>
        <v>0</v>
      </c>
      <c r="G52" s="81">
        <f t="shared" si="21"/>
        <v>0</v>
      </c>
      <c r="H52" s="81">
        <f t="shared" si="21"/>
        <v>0</v>
      </c>
      <c r="I52" s="81">
        <f t="shared" si="21"/>
        <v>0</v>
      </c>
      <c r="J52" s="81">
        <f t="shared" si="21"/>
        <v>0</v>
      </c>
      <c r="K52" s="81">
        <f t="shared" si="21"/>
        <v>0</v>
      </c>
    </row>
    <row r="53" spans="1:12">
      <c r="A53" s="92"/>
      <c r="B53" s="92"/>
      <c r="C53" s="216"/>
      <c r="D53" s="217"/>
      <c r="E53" s="81"/>
      <c r="F53" s="81"/>
      <c r="G53" s="81"/>
      <c r="H53" s="81"/>
      <c r="I53" s="81"/>
      <c r="J53" s="81"/>
      <c r="K53" s="81"/>
    </row>
    <row r="54" spans="1:12">
      <c r="A54" s="92"/>
      <c r="B54" s="92"/>
      <c r="C54" s="216"/>
      <c r="D54" s="217"/>
      <c r="E54" s="81"/>
      <c r="F54" s="81"/>
      <c r="G54" s="81"/>
      <c r="H54" s="81"/>
      <c r="I54" s="81"/>
      <c r="J54" s="81"/>
      <c r="K54" s="81"/>
    </row>
    <row r="55" spans="1:12">
      <c r="A55" s="92"/>
      <c r="B55" s="92"/>
      <c r="C55" s="216"/>
      <c r="D55" s="217"/>
      <c r="E55" s="81"/>
      <c r="F55" s="81"/>
      <c r="G55" s="81"/>
      <c r="H55" s="81"/>
      <c r="I55" s="81"/>
      <c r="J55" s="81"/>
      <c r="K55" s="81"/>
    </row>
    <row r="56" spans="1:12">
      <c r="A56" s="82" t="s">
        <v>312</v>
      </c>
      <c r="B56" s="82"/>
      <c r="C56" s="82"/>
      <c r="D56" s="82"/>
      <c r="E56" s="98">
        <f>SUM(E52:E55)</f>
        <v>0</v>
      </c>
      <c r="F56" s="98">
        <f t="shared" ref="F56:K56" si="22">SUM(F52:F55)</f>
        <v>0</v>
      </c>
      <c r="G56" s="98">
        <f t="shared" si="22"/>
        <v>0</v>
      </c>
      <c r="H56" s="98">
        <f t="shared" si="22"/>
        <v>0</v>
      </c>
      <c r="I56" s="98">
        <f t="shared" si="22"/>
        <v>0</v>
      </c>
      <c r="J56" s="98">
        <f t="shared" si="22"/>
        <v>0</v>
      </c>
      <c r="K56" s="98">
        <f t="shared" si="22"/>
        <v>0</v>
      </c>
    </row>
    <row r="57" spans="1:12">
      <c r="A57" s="82" t="s">
        <v>127</v>
      </c>
      <c r="B57" s="82"/>
      <c r="C57" s="82"/>
      <c r="D57" s="82"/>
      <c r="E57" s="98">
        <f>E49+E56</f>
        <v>0</v>
      </c>
      <c r="F57" s="98">
        <f t="shared" ref="F57:K57" si="23">F49+F56</f>
        <v>0</v>
      </c>
      <c r="G57" s="98">
        <f t="shared" si="23"/>
        <v>0</v>
      </c>
      <c r="H57" s="98">
        <f t="shared" si="23"/>
        <v>0</v>
      </c>
      <c r="I57" s="98">
        <f t="shared" si="23"/>
        <v>0</v>
      </c>
      <c r="J57" s="98">
        <f t="shared" si="23"/>
        <v>0</v>
      </c>
      <c r="K57" s="98">
        <f t="shared" si="23"/>
        <v>0</v>
      </c>
    </row>
    <row r="58" spans="1:12">
      <c r="A58" s="80"/>
      <c r="B58" s="80"/>
      <c r="C58" s="80"/>
      <c r="D58" s="80"/>
      <c r="E58" s="81"/>
      <c r="F58" s="81"/>
      <c r="G58" s="81"/>
      <c r="H58" s="81"/>
      <c r="I58" s="81"/>
      <c r="J58" s="81"/>
      <c r="K58" s="81"/>
    </row>
    <row r="59" spans="1:12">
      <c r="A59" s="82" t="s">
        <v>303</v>
      </c>
      <c r="B59" s="82"/>
      <c r="C59" s="82"/>
      <c r="D59" s="82"/>
      <c r="E59" s="98">
        <f t="shared" ref="E59:K59" si="24">E39-E57</f>
        <v>0</v>
      </c>
      <c r="F59" s="98">
        <f t="shared" si="24"/>
        <v>0</v>
      </c>
      <c r="G59" s="98">
        <f t="shared" si="24"/>
        <v>0</v>
      </c>
      <c r="H59" s="98">
        <f t="shared" si="24"/>
        <v>0</v>
      </c>
      <c r="I59" s="98">
        <f t="shared" si="24"/>
        <v>0</v>
      </c>
      <c r="J59" s="98">
        <f t="shared" si="24"/>
        <v>0</v>
      </c>
      <c r="K59" s="98">
        <f t="shared" si="24"/>
        <v>0</v>
      </c>
    </row>
    <row r="60" spans="1:12">
      <c r="A60" s="232"/>
      <c r="B60" s="232"/>
      <c r="C60" s="232"/>
      <c r="D60" s="232"/>
      <c r="E60" s="233"/>
      <c r="F60" s="233"/>
      <c r="G60" s="233"/>
      <c r="H60" s="233"/>
      <c r="I60" s="233"/>
      <c r="J60" s="233"/>
      <c r="K60" s="233"/>
    </row>
    <row r="61" spans="1:12">
      <c r="A61" s="79"/>
      <c r="B61" s="79"/>
      <c r="C61" s="232"/>
      <c r="D61" s="232"/>
      <c r="E61" s="233"/>
      <c r="F61" s="233"/>
      <c r="G61" s="233"/>
      <c r="H61" s="233"/>
      <c r="I61" s="233"/>
      <c r="J61" s="233"/>
      <c r="K61" s="233"/>
    </row>
    <row r="62" spans="1:12">
      <c r="A62" s="704" t="s">
        <v>400</v>
      </c>
      <c r="B62" s="704"/>
      <c r="C62" s="704"/>
      <c r="D62" s="704"/>
      <c r="E62" s="704"/>
      <c r="F62" s="704"/>
      <c r="G62" s="704"/>
      <c r="H62" s="704"/>
      <c r="I62" s="704"/>
      <c r="J62" s="704"/>
      <c r="K62" s="704"/>
      <c r="L62" s="704"/>
    </row>
    <row r="65" spans="1:2">
      <c r="A65" t="s">
        <v>480</v>
      </c>
    </row>
    <row r="66" spans="1:2">
      <c r="A66">
        <v>1</v>
      </c>
      <c r="B66" t="s">
        <v>490</v>
      </c>
    </row>
    <row r="67" spans="1:2">
      <c r="A67">
        <v>2</v>
      </c>
      <c r="B67" t="s">
        <v>491</v>
      </c>
    </row>
    <row r="68" spans="1:2">
      <c r="A68">
        <v>3</v>
      </c>
      <c r="B68" s="79" t="s">
        <v>536</v>
      </c>
    </row>
  </sheetData>
  <mergeCells count="4">
    <mergeCell ref="A21:K21"/>
    <mergeCell ref="A3:L3"/>
    <mergeCell ref="A62:L62"/>
    <mergeCell ref="A4:L4"/>
  </mergeCells>
  <pageMargins left="0.7" right="0.7" top="0.75" bottom="0.75" header="0.3" footer="0.3"/>
  <pageSetup paperSize="9" scale="48" orientation="portrait" r:id="rId1"/>
  <colBreaks count="1" manualBreakCount="1">
    <brk id="11" max="61" man="1"/>
  </col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W284"/>
  <sheetViews>
    <sheetView view="pageBreakPreview" zoomScale="70" zoomScaleSheetLayoutView="70" workbookViewId="0">
      <selection activeCell="E34" sqref="E34"/>
    </sheetView>
  </sheetViews>
  <sheetFormatPr defaultRowHeight="15"/>
  <cols>
    <col min="1" max="1" width="41.140625" bestFit="1" customWidth="1"/>
    <col min="2" max="2" width="4.42578125" bestFit="1" customWidth="1"/>
    <col min="3" max="3" width="10.5703125" bestFit="1" customWidth="1"/>
    <col min="4" max="4" width="13.42578125" bestFit="1" customWidth="1"/>
    <col min="5" max="5" width="19.42578125" bestFit="1" customWidth="1"/>
    <col min="6" max="6" width="14.7109375" customWidth="1"/>
    <col min="7" max="10" width="14.7109375" bestFit="1" customWidth="1"/>
    <col min="12" max="12" width="27.140625" bestFit="1" customWidth="1"/>
    <col min="18" max="20" width="9.42578125" bestFit="1" customWidth="1"/>
    <col min="22" max="22" width="9.42578125" bestFit="1" customWidth="1"/>
  </cols>
  <sheetData>
    <row r="2" spans="1:9" ht="18.75">
      <c r="A2" s="703" t="s">
        <v>531</v>
      </c>
      <c r="B2" s="703"/>
      <c r="C2" s="703"/>
      <c r="D2" s="703"/>
      <c r="E2" s="703"/>
      <c r="F2" s="703"/>
      <c r="G2" s="703"/>
      <c r="H2" s="703"/>
      <c r="I2" s="703"/>
    </row>
    <row r="4" spans="1:9">
      <c r="A4" s="79"/>
      <c r="B4" s="79"/>
      <c r="C4" s="79"/>
      <c r="D4" s="79"/>
      <c r="E4" s="79"/>
      <c r="F4" s="79"/>
      <c r="G4" s="79"/>
      <c r="H4" s="79"/>
      <c r="I4" s="79"/>
    </row>
    <row r="5" spans="1:9">
      <c r="A5" s="79"/>
      <c r="B5" s="79"/>
      <c r="C5" s="79"/>
      <c r="D5" s="79"/>
      <c r="E5" s="79"/>
      <c r="F5" s="79"/>
      <c r="G5" s="79"/>
      <c r="H5" s="79"/>
      <c r="I5" s="79"/>
    </row>
    <row r="6" spans="1:9">
      <c r="A6" s="123" t="s">
        <v>125</v>
      </c>
      <c r="B6" s="123"/>
      <c r="C6" s="103" t="s">
        <v>2</v>
      </c>
      <c r="D6" s="103" t="s">
        <v>3</v>
      </c>
      <c r="E6" s="103" t="s">
        <v>4</v>
      </c>
      <c r="F6" s="103" t="s">
        <v>5</v>
      </c>
      <c r="G6" s="103" t="s">
        <v>6</v>
      </c>
      <c r="H6" s="103" t="s">
        <v>163</v>
      </c>
      <c r="I6" s="103" t="s">
        <v>162</v>
      </c>
    </row>
    <row r="7" spans="1:9">
      <c r="A7" s="86" t="s">
        <v>493</v>
      </c>
      <c r="B7" s="84"/>
      <c r="C7" s="84"/>
      <c r="D7" s="84"/>
      <c r="E7" s="84"/>
      <c r="F7" s="84"/>
      <c r="G7" s="84"/>
      <c r="H7" s="84"/>
      <c r="I7" s="84"/>
    </row>
    <row r="8" spans="1:9">
      <c r="A8" s="86" t="s">
        <v>172</v>
      </c>
      <c r="B8" s="168"/>
      <c r="C8" s="215"/>
      <c r="D8" s="215"/>
      <c r="E8" s="215"/>
      <c r="F8" s="215"/>
      <c r="G8" s="215"/>
      <c r="H8" s="215"/>
      <c r="I8" s="215"/>
    </row>
    <row r="9" spans="1:9">
      <c r="A9" s="84">
        <f>'11.F&amp;V Crop Production details'!A92</f>
        <v>0</v>
      </c>
      <c r="B9" s="168"/>
      <c r="C9" s="215">
        <f>'11.F&amp;V Crop Production details'!B92</f>
        <v>0</v>
      </c>
      <c r="D9" s="215">
        <f>'11.F&amp;V Crop Production details'!C92</f>
        <v>0</v>
      </c>
      <c r="E9" s="215">
        <f>'11.F&amp;V Crop Production details'!D92</f>
        <v>0</v>
      </c>
      <c r="F9" s="215">
        <f>'11.F&amp;V Crop Production details'!E92</f>
        <v>0</v>
      </c>
      <c r="G9" s="215">
        <f>'11.F&amp;V Crop Production details'!F92</f>
        <v>0</v>
      </c>
      <c r="H9" s="215">
        <f>'11.F&amp;V Crop Production details'!G92</f>
        <v>0</v>
      </c>
      <c r="I9" s="215">
        <f>'11.F&amp;V Crop Production details'!H92</f>
        <v>0</v>
      </c>
    </row>
    <row r="10" spans="1:9">
      <c r="A10" s="84">
        <f>'11.F&amp;V Crop Production details'!A93</f>
        <v>0</v>
      </c>
      <c r="B10" s="168"/>
      <c r="C10" s="215">
        <f>'11.F&amp;V Crop Production details'!B93</f>
        <v>0</v>
      </c>
      <c r="D10" s="215">
        <f>'11.F&amp;V Crop Production details'!C93</f>
        <v>0</v>
      </c>
      <c r="E10" s="215">
        <f>'11.F&amp;V Crop Production details'!D93</f>
        <v>0</v>
      </c>
      <c r="F10" s="215">
        <f>'11.F&amp;V Crop Production details'!E93</f>
        <v>0</v>
      </c>
      <c r="G10" s="215">
        <f>'11.F&amp;V Crop Production details'!F93</f>
        <v>0</v>
      </c>
      <c r="H10" s="215">
        <f>'11.F&amp;V Crop Production details'!G93</f>
        <v>0</v>
      </c>
      <c r="I10" s="215">
        <f>'11.F&amp;V Crop Production details'!H93</f>
        <v>0</v>
      </c>
    </row>
    <row r="11" spans="1:9">
      <c r="A11" s="84">
        <f>'11.F&amp;V Crop Production details'!A94</f>
        <v>0</v>
      </c>
      <c r="B11" s="168"/>
      <c r="C11" s="215">
        <f>'11.F&amp;V Crop Production details'!B94</f>
        <v>0</v>
      </c>
      <c r="D11" s="215">
        <f>'11.F&amp;V Crop Production details'!C94</f>
        <v>0</v>
      </c>
      <c r="E11" s="215">
        <f>'11.F&amp;V Crop Production details'!D94</f>
        <v>0</v>
      </c>
      <c r="F11" s="215">
        <f>'11.F&amp;V Crop Production details'!E94</f>
        <v>0</v>
      </c>
      <c r="G11" s="215">
        <f>'11.F&amp;V Crop Production details'!F94</f>
        <v>0</v>
      </c>
      <c r="H11" s="215">
        <f>'11.F&amp;V Crop Production details'!G94</f>
        <v>0</v>
      </c>
      <c r="I11" s="215">
        <f>'11.F&amp;V Crop Production details'!H94</f>
        <v>0</v>
      </c>
    </row>
    <row r="12" spans="1:9">
      <c r="A12" s="84">
        <f>'11.F&amp;V Crop Production details'!A95</f>
        <v>0</v>
      </c>
      <c r="B12" s="168"/>
      <c r="C12" s="215">
        <f>'11.F&amp;V Crop Production details'!B95</f>
        <v>0</v>
      </c>
      <c r="D12" s="215">
        <f>'11.F&amp;V Crop Production details'!C95</f>
        <v>0</v>
      </c>
      <c r="E12" s="215">
        <f>'11.F&amp;V Crop Production details'!D95</f>
        <v>0</v>
      </c>
      <c r="F12" s="215">
        <f>'11.F&amp;V Crop Production details'!E95</f>
        <v>0</v>
      </c>
      <c r="G12" s="215">
        <f>'11.F&amp;V Crop Production details'!F95</f>
        <v>0</v>
      </c>
      <c r="H12" s="215">
        <f>'11.F&amp;V Crop Production details'!G95</f>
        <v>0</v>
      </c>
      <c r="I12" s="215">
        <f>'11.F&amp;V Crop Production details'!H95</f>
        <v>0</v>
      </c>
    </row>
    <row r="13" spans="1:9">
      <c r="A13" s="84">
        <f>'11.F&amp;V Crop Production details'!A96</f>
        <v>0</v>
      </c>
      <c r="B13" s="168"/>
      <c r="C13" s="215">
        <f>'11.F&amp;V Crop Production details'!B96</f>
        <v>0</v>
      </c>
      <c r="D13" s="215">
        <f>'11.F&amp;V Crop Production details'!C96</f>
        <v>0</v>
      </c>
      <c r="E13" s="215">
        <f>'11.F&amp;V Crop Production details'!D96</f>
        <v>0</v>
      </c>
      <c r="F13" s="215">
        <f>'11.F&amp;V Crop Production details'!E96</f>
        <v>0</v>
      </c>
      <c r="G13" s="215">
        <f>'11.F&amp;V Crop Production details'!F96</f>
        <v>0</v>
      </c>
      <c r="H13" s="215">
        <f>'11.F&amp;V Crop Production details'!G96</f>
        <v>0</v>
      </c>
      <c r="I13" s="215">
        <f>'11.F&amp;V Crop Production details'!H96</f>
        <v>0</v>
      </c>
    </row>
    <row r="14" spans="1:9">
      <c r="A14" s="84">
        <f>'11.F&amp;V Crop Production details'!A97</f>
        <v>0</v>
      </c>
      <c r="B14" s="168"/>
      <c r="C14" s="215">
        <f>'11.F&amp;V Crop Production details'!B97</f>
        <v>0</v>
      </c>
      <c r="D14" s="215">
        <f>'11.F&amp;V Crop Production details'!C97</f>
        <v>0</v>
      </c>
      <c r="E14" s="215">
        <f>'11.F&amp;V Crop Production details'!D97</f>
        <v>0</v>
      </c>
      <c r="F14" s="215">
        <f>'11.F&amp;V Crop Production details'!E97</f>
        <v>0</v>
      </c>
      <c r="G14" s="215">
        <f>'11.F&amp;V Crop Production details'!F97</f>
        <v>0</v>
      </c>
      <c r="H14" s="215">
        <f>'11.F&amp;V Crop Production details'!G97</f>
        <v>0</v>
      </c>
      <c r="I14" s="215">
        <f>'11.F&amp;V Crop Production details'!H97</f>
        <v>0</v>
      </c>
    </row>
    <row r="15" spans="1:9">
      <c r="A15" s="84">
        <f>'11.F&amp;V Crop Production details'!A98</f>
        <v>0</v>
      </c>
      <c r="B15" s="168"/>
      <c r="C15" s="215">
        <f>'11.F&amp;V Crop Production details'!B98</f>
        <v>0</v>
      </c>
      <c r="D15" s="215">
        <f>'11.F&amp;V Crop Production details'!C98</f>
        <v>0</v>
      </c>
      <c r="E15" s="215">
        <f>'11.F&amp;V Crop Production details'!D98</f>
        <v>0</v>
      </c>
      <c r="F15" s="215">
        <f>'11.F&amp;V Crop Production details'!E98</f>
        <v>0</v>
      </c>
      <c r="G15" s="215">
        <f>'11.F&amp;V Crop Production details'!F98</f>
        <v>0</v>
      </c>
      <c r="H15" s="215">
        <f>'11.F&amp;V Crop Production details'!G98</f>
        <v>0</v>
      </c>
      <c r="I15" s="215">
        <f>'11.F&amp;V Crop Production details'!H98</f>
        <v>0</v>
      </c>
    </row>
    <row r="16" spans="1:9">
      <c r="A16" s="84">
        <f>'11.F&amp;V Crop Production details'!A99</f>
        <v>0</v>
      </c>
      <c r="B16" s="168"/>
      <c r="C16" s="215">
        <f>'11.F&amp;V Crop Production details'!B99</f>
        <v>0</v>
      </c>
      <c r="D16" s="215">
        <f>'11.F&amp;V Crop Production details'!C99</f>
        <v>0</v>
      </c>
      <c r="E16" s="215">
        <f>'11.F&amp;V Crop Production details'!D99</f>
        <v>0</v>
      </c>
      <c r="F16" s="215">
        <f>'11.F&amp;V Crop Production details'!E99</f>
        <v>0</v>
      </c>
      <c r="G16" s="215">
        <f>'11.F&amp;V Crop Production details'!F99</f>
        <v>0</v>
      </c>
      <c r="H16" s="215">
        <f>'11.F&amp;V Crop Production details'!G99</f>
        <v>0</v>
      </c>
      <c r="I16" s="215">
        <f>'11.F&amp;V Crop Production details'!H99</f>
        <v>0</v>
      </c>
    </row>
    <row r="17" spans="1:9">
      <c r="A17" s="86" t="s">
        <v>176</v>
      </c>
      <c r="B17" s="168"/>
      <c r="C17" s="215"/>
      <c r="D17" s="215"/>
      <c r="E17" s="215"/>
      <c r="F17" s="215"/>
      <c r="G17" s="215"/>
      <c r="H17" s="215"/>
      <c r="I17" s="215"/>
    </row>
    <row r="18" spans="1:9">
      <c r="A18" s="84">
        <f>'11.F&amp;V Crop Production details'!A101</f>
        <v>0</v>
      </c>
      <c r="B18" s="168"/>
      <c r="C18" s="215">
        <f>'11.F&amp;V Crop Production details'!B101</f>
        <v>0</v>
      </c>
      <c r="D18" s="215">
        <f>'11.F&amp;V Crop Production details'!C101</f>
        <v>0</v>
      </c>
      <c r="E18" s="215">
        <f>'11.F&amp;V Crop Production details'!D101</f>
        <v>0</v>
      </c>
      <c r="F18" s="215">
        <f>'11.F&amp;V Crop Production details'!E101</f>
        <v>0</v>
      </c>
      <c r="G18" s="215">
        <f>'11.F&amp;V Crop Production details'!F101</f>
        <v>0</v>
      </c>
      <c r="H18" s="215">
        <f>'11.F&amp;V Crop Production details'!G101</f>
        <v>0</v>
      </c>
      <c r="I18" s="215">
        <f>'11.F&amp;V Crop Production details'!H101</f>
        <v>0</v>
      </c>
    </row>
    <row r="19" spans="1:9">
      <c r="A19" s="84">
        <f>'11.F&amp;V Crop Production details'!A102</f>
        <v>0</v>
      </c>
      <c r="B19" s="168"/>
      <c r="C19" s="215">
        <f>'11.F&amp;V Crop Production details'!B102</f>
        <v>0</v>
      </c>
      <c r="D19" s="215">
        <f>'11.F&amp;V Crop Production details'!C102</f>
        <v>0</v>
      </c>
      <c r="E19" s="215">
        <f>'11.F&amp;V Crop Production details'!D102</f>
        <v>0</v>
      </c>
      <c r="F19" s="215">
        <f>'11.F&amp;V Crop Production details'!E102</f>
        <v>0</v>
      </c>
      <c r="G19" s="215">
        <f>'11.F&amp;V Crop Production details'!F102</f>
        <v>0</v>
      </c>
      <c r="H19" s="215">
        <f>'11.F&amp;V Crop Production details'!G102</f>
        <v>0</v>
      </c>
      <c r="I19" s="215">
        <f>'11.F&amp;V Crop Production details'!H102</f>
        <v>0</v>
      </c>
    </row>
    <row r="20" spans="1:9">
      <c r="A20" s="84">
        <f>'11.F&amp;V Crop Production details'!A103</f>
        <v>0</v>
      </c>
      <c r="B20" s="168"/>
      <c r="C20" s="215">
        <f>'11.F&amp;V Crop Production details'!B103</f>
        <v>0</v>
      </c>
      <c r="D20" s="215">
        <f>'11.F&amp;V Crop Production details'!C103</f>
        <v>0</v>
      </c>
      <c r="E20" s="215">
        <f>'11.F&amp;V Crop Production details'!D103</f>
        <v>0</v>
      </c>
      <c r="F20" s="215">
        <f>'11.F&amp;V Crop Production details'!E103</f>
        <v>0</v>
      </c>
      <c r="G20" s="215">
        <f>'11.F&amp;V Crop Production details'!F103</f>
        <v>0</v>
      </c>
      <c r="H20" s="215">
        <f>'11.F&amp;V Crop Production details'!G103</f>
        <v>0</v>
      </c>
      <c r="I20" s="215">
        <f>'11.F&amp;V Crop Production details'!H103</f>
        <v>0</v>
      </c>
    </row>
    <row r="21" spans="1:9">
      <c r="A21" s="84">
        <f>'11.F&amp;V Crop Production details'!A104</f>
        <v>0</v>
      </c>
      <c r="B21" s="168"/>
      <c r="C21" s="215">
        <f>'11.F&amp;V Crop Production details'!B104</f>
        <v>0</v>
      </c>
      <c r="D21" s="215">
        <f>'11.F&amp;V Crop Production details'!C104</f>
        <v>0</v>
      </c>
      <c r="E21" s="215">
        <f>'11.F&amp;V Crop Production details'!D104</f>
        <v>0</v>
      </c>
      <c r="F21" s="215">
        <f>'11.F&amp;V Crop Production details'!E104</f>
        <v>0</v>
      </c>
      <c r="G21" s="215">
        <f>'11.F&amp;V Crop Production details'!F104</f>
        <v>0</v>
      </c>
      <c r="H21" s="215">
        <f>'11.F&amp;V Crop Production details'!G104</f>
        <v>0</v>
      </c>
      <c r="I21" s="215">
        <f>'11.F&amp;V Crop Production details'!H104</f>
        <v>0</v>
      </c>
    </row>
    <row r="22" spans="1:9">
      <c r="A22" s="84">
        <f>'11.F&amp;V Crop Production details'!A105</f>
        <v>0</v>
      </c>
      <c r="B22" s="168"/>
      <c r="C22" s="215">
        <f>'11.F&amp;V Crop Production details'!B105</f>
        <v>0</v>
      </c>
      <c r="D22" s="215">
        <f>'11.F&amp;V Crop Production details'!C105</f>
        <v>0</v>
      </c>
      <c r="E22" s="215">
        <f>'11.F&amp;V Crop Production details'!D105</f>
        <v>0</v>
      </c>
      <c r="F22" s="215">
        <f>'11.F&amp;V Crop Production details'!E105</f>
        <v>0</v>
      </c>
      <c r="G22" s="215">
        <f>'11.F&amp;V Crop Production details'!F105</f>
        <v>0</v>
      </c>
      <c r="H22" s="215">
        <f>'11.F&amp;V Crop Production details'!G105</f>
        <v>0</v>
      </c>
      <c r="I22" s="215">
        <f>'11.F&amp;V Crop Production details'!H105</f>
        <v>0</v>
      </c>
    </row>
    <row r="23" spans="1:9">
      <c r="A23" s="84">
        <f>'11.F&amp;V Crop Production details'!A106</f>
        <v>0</v>
      </c>
      <c r="B23" s="168"/>
      <c r="C23" s="215">
        <f>'11.F&amp;V Crop Production details'!B106</f>
        <v>0</v>
      </c>
      <c r="D23" s="215">
        <f>'11.F&amp;V Crop Production details'!C106</f>
        <v>0</v>
      </c>
      <c r="E23" s="215">
        <f>'11.F&amp;V Crop Production details'!D106</f>
        <v>0</v>
      </c>
      <c r="F23" s="215">
        <f>'11.F&amp;V Crop Production details'!E106</f>
        <v>0</v>
      </c>
      <c r="G23" s="215">
        <f>'11.F&amp;V Crop Production details'!F106</f>
        <v>0</v>
      </c>
      <c r="H23" s="215">
        <f>'11.F&amp;V Crop Production details'!G106</f>
        <v>0</v>
      </c>
      <c r="I23" s="215">
        <f>'11.F&amp;V Crop Production details'!H106</f>
        <v>0</v>
      </c>
    </row>
    <row r="24" spans="1:9">
      <c r="A24" s="84">
        <f>'11.F&amp;V Crop Production details'!A107</f>
        <v>0</v>
      </c>
      <c r="B24" s="168"/>
      <c r="C24" s="215">
        <f>'11.F&amp;V Crop Production details'!B107</f>
        <v>0</v>
      </c>
      <c r="D24" s="215">
        <f>'11.F&amp;V Crop Production details'!C107</f>
        <v>0</v>
      </c>
      <c r="E24" s="215">
        <f>'11.F&amp;V Crop Production details'!D107</f>
        <v>0</v>
      </c>
      <c r="F24" s="215">
        <f>'11.F&amp;V Crop Production details'!E107</f>
        <v>0</v>
      </c>
      <c r="G24" s="215">
        <f>'11.F&amp;V Crop Production details'!F107</f>
        <v>0</v>
      </c>
      <c r="H24" s="215">
        <f>'11.F&amp;V Crop Production details'!G107</f>
        <v>0</v>
      </c>
      <c r="I24" s="215">
        <f>'11.F&amp;V Crop Production details'!H107</f>
        <v>0</v>
      </c>
    </row>
    <row r="25" spans="1:9">
      <c r="A25" s="84">
        <f>'11.F&amp;V Crop Production details'!A108</f>
        <v>0</v>
      </c>
      <c r="B25" s="168"/>
      <c r="C25" s="215">
        <f>'11.F&amp;V Crop Production details'!B108</f>
        <v>0</v>
      </c>
      <c r="D25" s="215">
        <f>'11.F&amp;V Crop Production details'!C108</f>
        <v>0</v>
      </c>
      <c r="E25" s="215">
        <f>'11.F&amp;V Crop Production details'!D108</f>
        <v>0</v>
      </c>
      <c r="F25" s="215">
        <f>'11.F&amp;V Crop Production details'!E108</f>
        <v>0</v>
      </c>
      <c r="G25" s="215">
        <f>'11.F&amp;V Crop Production details'!F108</f>
        <v>0</v>
      </c>
      <c r="H25" s="215">
        <f>'11.F&amp;V Crop Production details'!G108</f>
        <v>0</v>
      </c>
      <c r="I25" s="215">
        <f>'11.F&amp;V Crop Production details'!H108</f>
        <v>0</v>
      </c>
    </row>
    <row r="26" spans="1:9">
      <c r="A26" s="86">
        <f>'11.F&amp;V Crop Production details'!A33</f>
        <v>0</v>
      </c>
      <c r="B26" s="168"/>
      <c r="C26" s="215"/>
      <c r="D26" s="215"/>
      <c r="E26" s="215"/>
      <c r="F26" s="215"/>
      <c r="G26" s="215"/>
      <c r="H26" s="215"/>
      <c r="I26" s="215"/>
    </row>
    <row r="27" spans="1:9">
      <c r="A27" s="84">
        <f>'11.F&amp;V Crop Production details'!A109</f>
        <v>0</v>
      </c>
      <c r="B27" s="168"/>
      <c r="C27" s="215">
        <f>'11.F&amp;V Crop Production details'!B110</f>
        <v>0</v>
      </c>
      <c r="D27" s="215">
        <f>'11.F&amp;V Crop Production details'!C110</f>
        <v>0</v>
      </c>
      <c r="E27" s="215">
        <f>'11.F&amp;V Crop Production details'!D110</f>
        <v>0</v>
      </c>
      <c r="F27" s="215">
        <f>'11.F&amp;V Crop Production details'!E110</f>
        <v>0</v>
      </c>
      <c r="G27" s="215">
        <f>'11.F&amp;V Crop Production details'!F110</f>
        <v>0</v>
      </c>
      <c r="H27" s="215">
        <f>'11.F&amp;V Crop Production details'!G110</f>
        <v>0</v>
      </c>
      <c r="I27" s="215">
        <f>'11.F&amp;V Crop Production details'!H110</f>
        <v>0</v>
      </c>
    </row>
    <row r="28" spans="1:9">
      <c r="A28" s="84">
        <f>'11.F&amp;V Crop Production details'!A110</f>
        <v>0</v>
      </c>
      <c r="B28" s="168"/>
      <c r="C28" s="215">
        <f>'11.F&amp;V Crop Production details'!B111</f>
        <v>0</v>
      </c>
      <c r="D28" s="215">
        <f>'11.F&amp;V Crop Production details'!C111</f>
        <v>0</v>
      </c>
      <c r="E28" s="215">
        <f>'11.F&amp;V Crop Production details'!D111</f>
        <v>0</v>
      </c>
      <c r="F28" s="215">
        <f>'11.F&amp;V Crop Production details'!E111</f>
        <v>0</v>
      </c>
      <c r="G28" s="215">
        <f>'11.F&amp;V Crop Production details'!F111</f>
        <v>0</v>
      </c>
      <c r="H28" s="215">
        <f>'11.F&amp;V Crop Production details'!G111</f>
        <v>0</v>
      </c>
      <c r="I28" s="215">
        <f>'11.F&amp;V Crop Production details'!H111</f>
        <v>0</v>
      </c>
    </row>
    <row r="29" spans="1:9">
      <c r="A29" s="84">
        <f>'11.F&amp;V Crop Production details'!A111</f>
        <v>0</v>
      </c>
      <c r="B29" s="168"/>
      <c r="C29" s="215">
        <f>'11.F&amp;V Crop Production details'!B112</f>
        <v>0</v>
      </c>
      <c r="D29" s="215">
        <f>'11.F&amp;V Crop Production details'!C112</f>
        <v>0</v>
      </c>
      <c r="E29" s="215">
        <f>'11.F&amp;V Crop Production details'!D112</f>
        <v>0</v>
      </c>
      <c r="F29" s="215">
        <f>'11.F&amp;V Crop Production details'!E112</f>
        <v>0</v>
      </c>
      <c r="G29" s="215">
        <f>'11.F&amp;V Crop Production details'!F112</f>
        <v>0</v>
      </c>
      <c r="H29" s="215">
        <f>'11.F&amp;V Crop Production details'!G112</f>
        <v>0</v>
      </c>
      <c r="I29" s="215">
        <f>'11.F&amp;V Crop Production details'!H112</f>
        <v>0</v>
      </c>
    </row>
    <row r="30" spans="1:9">
      <c r="A30" s="84">
        <f>'11.F&amp;V Crop Production details'!A112</f>
        <v>0</v>
      </c>
      <c r="B30" s="168"/>
      <c r="C30" s="215">
        <f>'11.F&amp;V Crop Production details'!B113</f>
        <v>0</v>
      </c>
      <c r="D30" s="215">
        <f>'11.F&amp;V Crop Production details'!C113</f>
        <v>0</v>
      </c>
      <c r="E30" s="215">
        <f>'11.F&amp;V Crop Production details'!D113</f>
        <v>0</v>
      </c>
      <c r="F30" s="215">
        <f>'11.F&amp;V Crop Production details'!E113</f>
        <v>0</v>
      </c>
      <c r="G30" s="215">
        <f>'11.F&amp;V Crop Production details'!F113</f>
        <v>0</v>
      </c>
      <c r="H30" s="215">
        <f>'11.F&amp;V Crop Production details'!G113</f>
        <v>0</v>
      </c>
      <c r="I30" s="215">
        <f>'11.F&amp;V Crop Production details'!H113</f>
        <v>0</v>
      </c>
    </row>
    <row r="31" spans="1:9">
      <c r="A31" s="84">
        <f>'11.F&amp;V Crop Production details'!A113</f>
        <v>0</v>
      </c>
      <c r="B31" s="168"/>
      <c r="C31" s="215">
        <f>'11.F&amp;V Crop Production details'!C114</f>
        <v>0</v>
      </c>
      <c r="D31" s="215">
        <f>'11.F&amp;V Crop Production details'!D114</f>
        <v>0</v>
      </c>
      <c r="E31" s="215">
        <f>'11.F&amp;V Crop Production details'!E114</f>
        <v>0</v>
      </c>
      <c r="F31" s="215">
        <f>'11.F&amp;V Crop Production details'!F114</f>
        <v>0</v>
      </c>
      <c r="G31" s="215">
        <f>'11.F&amp;V Crop Production details'!G114</f>
        <v>0</v>
      </c>
      <c r="H31" s="215">
        <f>'11.F&amp;V Crop Production details'!H114</f>
        <v>0</v>
      </c>
      <c r="I31" s="215">
        <f>'11.F&amp;V Crop Production details'!I114</f>
        <v>0</v>
      </c>
    </row>
    <row r="32" spans="1:9">
      <c r="A32" s="86" t="str">
        <f>'10.Grain Production details'!A1:H1</f>
        <v>Grains Crops and  Production Details</v>
      </c>
      <c r="B32" s="168"/>
      <c r="C32" s="215"/>
      <c r="D32" s="215"/>
      <c r="E32" s="215"/>
      <c r="F32" s="215"/>
      <c r="G32" s="215"/>
      <c r="H32" s="215"/>
      <c r="I32" s="215"/>
    </row>
    <row r="33" spans="1:9">
      <c r="A33" s="84">
        <f>'10.Grain Production details'!A44</f>
        <v>0</v>
      </c>
      <c r="B33" s="168"/>
      <c r="C33" s="215">
        <f>'10.Grain Production details'!B44</f>
        <v>0</v>
      </c>
      <c r="D33" s="215">
        <f>'10.Grain Production details'!C44</f>
        <v>0</v>
      </c>
      <c r="E33" s="215">
        <f>'10.Grain Production details'!D44</f>
        <v>0</v>
      </c>
      <c r="F33" s="215">
        <f>'10.Grain Production details'!E44</f>
        <v>0</v>
      </c>
      <c r="G33" s="215">
        <f>'10.Grain Production details'!F44</f>
        <v>0</v>
      </c>
      <c r="H33" s="215">
        <f>'10.Grain Production details'!G44</f>
        <v>0</v>
      </c>
      <c r="I33" s="215">
        <f>'10.Grain Production details'!H44</f>
        <v>0</v>
      </c>
    </row>
    <row r="34" spans="1:9">
      <c r="A34" s="84" t="e">
        <f>'10.Grain Production details'!#REF!</f>
        <v>#REF!</v>
      </c>
      <c r="B34" s="168"/>
      <c r="C34" s="215" t="e">
        <f>'10.Grain Production details'!#REF!</f>
        <v>#REF!</v>
      </c>
      <c r="D34" s="215" t="e">
        <f>'10.Grain Production details'!#REF!</f>
        <v>#REF!</v>
      </c>
      <c r="E34" s="215" t="e">
        <f>'10.Grain Production details'!#REF!</f>
        <v>#REF!</v>
      </c>
      <c r="F34" s="215" t="e">
        <f>'10.Grain Production details'!#REF!</f>
        <v>#REF!</v>
      </c>
      <c r="G34" s="215" t="e">
        <f>'10.Grain Production details'!#REF!</f>
        <v>#REF!</v>
      </c>
      <c r="H34" s="215" t="e">
        <f>'10.Grain Production details'!#REF!</f>
        <v>#REF!</v>
      </c>
      <c r="I34" s="215" t="e">
        <f>'10.Grain Production details'!#REF!</f>
        <v>#REF!</v>
      </c>
    </row>
    <row r="35" spans="1:9">
      <c r="A35" s="84" t="e">
        <f>'10.Grain Production details'!#REF!</f>
        <v>#REF!</v>
      </c>
      <c r="B35" s="168"/>
      <c r="C35" s="215" t="e">
        <f>'10.Grain Production details'!#REF!</f>
        <v>#REF!</v>
      </c>
      <c r="D35" s="215" t="e">
        <f>'10.Grain Production details'!#REF!</f>
        <v>#REF!</v>
      </c>
      <c r="E35" s="215" t="e">
        <f>'10.Grain Production details'!#REF!</f>
        <v>#REF!</v>
      </c>
      <c r="F35" s="215" t="e">
        <f>'10.Grain Production details'!#REF!</f>
        <v>#REF!</v>
      </c>
      <c r="G35" s="215" t="e">
        <f>'10.Grain Production details'!#REF!</f>
        <v>#REF!</v>
      </c>
      <c r="H35" s="215" t="e">
        <f>'10.Grain Production details'!#REF!</f>
        <v>#REF!</v>
      </c>
      <c r="I35" s="215" t="e">
        <f>'10.Grain Production details'!#REF!</f>
        <v>#REF!</v>
      </c>
    </row>
    <row r="36" spans="1:9">
      <c r="A36" s="84" t="str">
        <f>'10.Grain Production details'!A45</f>
        <v xml:space="preserve">Safflower Seed </v>
      </c>
      <c r="B36" s="168"/>
      <c r="C36" s="215">
        <f>'10.Grain Production details'!B45</f>
        <v>0</v>
      </c>
      <c r="D36" s="215">
        <f>'10.Grain Production details'!C45</f>
        <v>0</v>
      </c>
      <c r="E36" s="215">
        <f>'10.Grain Production details'!D45</f>
        <v>0</v>
      </c>
      <c r="F36" s="215">
        <f>'10.Grain Production details'!E45</f>
        <v>0</v>
      </c>
      <c r="G36" s="215">
        <f>'10.Grain Production details'!F45</f>
        <v>0</v>
      </c>
      <c r="H36" s="215">
        <f>'10.Grain Production details'!G45</f>
        <v>0</v>
      </c>
      <c r="I36" s="215">
        <f>'10.Grain Production details'!H45</f>
        <v>0</v>
      </c>
    </row>
    <row r="37" spans="1:9">
      <c r="A37" s="84" t="e">
        <f>'10.Grain Production details'!#REF!</f>
        <v>#REF!</v>
      </c>
      <c r="B37" s="168"/>
      <c r="C37" s="215" t="e">
        <f>'10.Grain Production details'!#REF!</f>
        <v>#REF!</v>
      </c>
      <c r="D37" s="215" t="e">
        <f>'10.Grain Production details'!#REF!</f>
        <v>#REF!</v>
      </c>
      <c r="E37" s="215" t="e">
        <f>'10.Grain Production details'!#REF!</f>
        <v>#REF!</v>
      </c>
      <c r="F37" s="215" t="e">
        <f>'10.Grain Production details'!#REF!</f>
        <v>#REF!</v>
      </c>
      <c r="G37" s="215" t="e">
        <f>'10.Grain Production details'!#REF!</f>
        <v>#REF!</v>
      </c>
      <c r="H37" s="215" t="e">
        <f>'10.Grain Production details'!#REF!</f>
        <v>#REF!</v>
      </c>
      <c r="I37" s="215" t="e">
        <f>'10.Grain Production details'!#REF!</f>
        <v>#REF!</v>
      </c>
    </row>
    <row r="38" spans="1:9">
      <c r="A38" s="84" t="e">
        <f>'10.Grain Production details'!#REF!</f>
        <v>#REF!</v>
      </c>
      <c r="B38" s="168"/>
      <c r="C38" s="215" t="e">
        <f>'10.Grain Production details'!#REF!</f>
        <v>#REF!</v>
      </c>
      <c r="D38" s="215" t="e">
        <f>'10.Grain Production details'!#REF!</f>
        <v>#REF!</v>
      </c>
      <c r="E38" s="215" t="e">
        <f>'10.Grain Production details'!#REF!</f>
        <v>#REF!</v>
      </c>
      <c r="F38" s="215" t="e">
        <f>'10.Grain Production details'!#REF!</f>
        <v>#REF!</v>
      </c>
      <c r="G38" s="215" t="e">
        <f>'10.Grain Production details'!#REF!</f>
        <v>#REF!</v>
      </c>
      <c r="H38" s="215" t="e">
        <f>'10.Grain Production details'!#REF!</f>
        <v>#REF!</v>
      </c>
      <c r="I38" s="215" t="e">
        <f>'10.Grain Production details'!#REF!</f>
        <v>#REF!</v>
      </c>
    </row>
    <row r="39" spans="1:9">
      <c r="A39" s="84" t="e">
        <f>'10.Grain Production details'!#REF!</f>
        <v>#REF!</v>
      </c>
      <c r="B39" s="168"/>
      <c r="C39" s="215" t="e">
        <f>'10.Grain Production details'!#REF!</f>
        <v>#REF!</v>
      </c>
      <c r="D39" s="215" t="e">
        <f>'10.Grain Production details'!#REF!</f>
        <v>#REF!</v>
      </c>
      <c r="E39" s="215" t="e">
        <f>'10.Grain Production details'!#REF!</f>
        <v>#REF!</v>
      </c>
      <c r="F39" s="215" t="e">
        <f>'10.Grain Production details'!#REF!</f>
        <v>#REF!</v>
      </c>
      <c r="G39" s="215" t="e">
        <f>'10.Grain Production details'!#REF!</f>
        <v>#REF!</v>
      </c>
      <c r="H39" s="215" t="e">
        <f>'10.Grain Production details'!#REF!</f>
        <v>#REF!</v>
      </c>
      <c r="I39" s="215" t="e">
        <f>'10.Grain Production details'!#REF!</f>
        <v>#REF!</v>
      </c>
    </row>
    <row r="40" spans="1:9">
      <c r="A40" s="84" t="e">
        <f>'10.Grain Production details'!#REF!</f>
        <v>#REF!</v>
      </c>
      <c r="B40" s="168"/>
      <c r="C40" s="215" t="e">
        <f>'10.Grain Production details'!#REF!</f>
        <v>#REF!</v>
      </c>
      <c r="D40" s="215" t="e">
        <f>'10.Grain Production details'!#REF!</f>
        <v>#REF!</v>
      </c>
      <c r="E40" s="215" t="e">
        <f>'10.Grain Production details'!#REF!</f>
        <v>#REF!</v>
      </c>
      <c r="F40" s="215" t="e">
        <f>'10.Grain Production details'!#REF!</f>
        <v>#REF!</v>
      </c>
      <c r="G40" s="215" t="e">
        <f>'10.Grain Production details'!#REF!</f>
        <v>#REF!</v>
      </c>
      <c r="H40" s="215" t="e">
        <f>'10.Grain Production details'!#REF!</f>
        <v>#REF!</v>
      </c>
      <c r="I40" s="215" t="e">
        <f>'10.Grain Production details'!#REF!</f>
        <v>#REF!</v>
      </c>
    </row>
    <row r="41" spans="1:9">
      <c r="A41" s="84" t="e">
        <f>'10.Grain Production details'!#REF!</f>
        <v>#REF!</v>
      </c>
      <c r="B41" s="168"/>
      <c r="C41" s="215" t="e">
        <f>'10.Grain Production details'!#REF!</f>
        <v>#REF!</v>
      </c>
      <c r="D41" s="215" t="e">
        <f>'10.Grain Production details'!#REF!</f>
        <v>#REF!</v>
      </c>
      <c r="E41" s="215" t="e">
        <f>'10.Grain Production details'!#REF!</f>
        <v>#REF!</v>
      </c>
      <c r="F41" s="215" t="e">
        <f>'10.Grain Production details'!#REF!</f>
        <v>#REF!</v>
      </c>
      <c r="G41" s="215" t="e">
        <f>'10.Grain Production details'!#REF!</f>
        <v>#REF!</v>
      </c>
      <c r="H41" s="215" t="e">
        <f>'10.Grain Production details'!#REF!</f>
        <v>#REF!</v>
      </c>
      <c r="I41" s="215" t="e">
        <f>'10.Grain Production details'!#REF!</f>
        <v>#REF!</v>
      </c>
    </row>
    <row r="42" spans="1:9">
      <c r="A42" s="84" t="e">
        <f>'10.Grain Production details'!#REF!</f>
        <v>#REF!</v>
      </c>
      <c r="B42" s="168"/>
      <c r="C42" s="215" t="e">
        <f>'10.Grain Production details'!#REF!</f>
        <v>#REF!</v>
      </c>
      <c r="D42" s="215" t="e">
        <f>'10.Grain Production details'!#REF!</f>
        <v>#REF!</v>
      </c>
      <c r="E42" s="215" t="e">
        <f>'10.Grain Production details'!#REF!</f>
        <v>#REF!</v>
      </c>
      <c r="F42" s="215" t="e">
        <f>'10.Grain Production details'!#REF!</f>
        <v>#REF!</v>
      </c>
      <c r="G42" s="215" t="e">
        <f>'10.Grain Production details'!#REF!</f>
        <v>#REF!</v>
      </c>
      <c r="H42" s="215" t="e">
        <f>'10.Grain Production details'!#REF!</f>
        <v>#REF!</v>
      </c>
      <c r="I42" s="215" t="e">
        <f>'10.Grain Production details'!#REF!</f>
        <v>#REF!</v>
      </c>
    </row>
    <row r="43" spans="1:9">
      <c r="A43" s="84" t="e">
        <f>'10.Grain Production details'!#REF!</f>
        <v>#REF!</v>
      </c>
      <c r="B43" s="168"/>
      <c r="C43" s="215" t="e">
        <f>'10.Grain Production details'!#REF!</f>
        <v>#REF!</v>
      </c>
      <c r="D43" s="215" t="e">
        <f>'10.Grain Production details'!#REF!</f>
        <v>#REF!</v>
      </c>
      <c r="E43" s="215" t="e">
        <f>'10.Grain Production details'!#REF!</f>
        <v>#REF!</v>
      </c>
      <c r="F43" s="215" t="e">
        <f>'10.Grain Production details'!#REF!</f>
        <v>#REF!</v>
      </c>
      <c r="G43" s="215" t="e">
        <f>'10.Grain Production details'!#REF!</f>
        <v>#REF!</v>
      </c>
      <c r="H43" s="215" t="e">
        <f>'10.Grain Production details'!#REF!</f>
        <v>#REF!</v>
      </c>
      <c r="I43" s="215" t="e">
        <f>'10.Grain Production details'!#REF!</f>
        <v>#REF!</v>
      </c>
    </row>
    <row r="44" spans="1:9">
      <c r="A44" s="84" t="e">
        <f>'10.Grain Production details'!#REF!</f>
        <v>#REF!</v>
      </c>
      <c r="B44" s="168"/>
      <c r="C44" s="215" t="e">
        <f>'10.Grain Production details'!#REF!</f>
        <v>#REF!</v>
      </c>
      <c r="D44" s="215" t="e">
        <f>'10.Grain Production details'!#REF!</f>
        <v>#REF!</v>
      </c>
      <c r="E44" s="215" t="e">
        <f>'10.Grain Production details'!#REF!</f>
        <v>#REF!</v>
      </c>
      <c r="F44" s="215" t="e">
        <f>'10.Grain Production details'!#REF!</f>
        <v>#REF!</v>
      </c>
      <c r="G44" s="215" t="e">
        <f>'10.Grain Production details'!#REF!</f>
        <v>#REF!</v>
      </c>
      <c r="H44" s="215" t="e">
        <f>'10.Grain Production details'!#REF!</f>
        <v>#REF!</v>
      </c>
      <c r="I44" s="215" t="e">
        <f>'10.Grain Production details'!#REF!</f>
        <v>#REF!</v>
      </c>
    </row>
    <row r="45" spans="1:9">
      <c r="A45" s="84" t="e">
        <f>'10.Grain Production details'!#REF!</f>
        <v>#REF!</v>
      </c>
      <c r="B45" s="168"/>
      <c r="C45" s="215" t="e">
        <f>'10.Grain Production details'!#REF!</f>
        <v>#REF!</v>
      </c>
      <c r="D45" s="215" t="e">
        <f>'10.Grain Production details'!#REF!</f>
        <v>#REF!</v>
      </c>
      <c r="E45" s="215" t="e">
        <f>'10.Grain Production details'!#REF!</f>
        <v>#REF!</v>
      </c>
      <c r="F45" s="215" t="e">
        <f>'10.Grain Production details'!#REF!</f>
        <v>#REF!</v>
      </c>
      <c r="G45" s="215" t="e">
        <f>'10.Grain Production details'!#REF!</f>
        <v>#REF!</v>
      </c>
      <c r="H45" s="215" t="e">
        <f>'10.Grain Production details'!#REF!</f>
        <v>#REF!</v>
      </c>
      <c r="I45" s="215" t="e">
        <f>'10.Grain Production details'!#REF!</f>
        <v>#REF!</v>
      </c>
    </row>
    <row r="46" spans="1:9">
      <c r="A46" s="84" t="e">
        <f>'10.Grain Production details'!#REF!</f>
        <v>#REF!</v>
      </c>
      <c r="B46" s="168"/>
      <c r="C46" s="215" t="e">
        <f>'10.Grain Production details'!#REF!</f>
        <v>#REF!</v>
      </c>
      <c r="D46" s="215" t="e">
        <f>'10.Grain Production details'!#REF!</f>
        <v>#REF!</v>
      </c>
      <c r="E46" s="215" t="e">
        <f>'10.Grain Production details'!#REF!</f>
        <v>#REF!</v>
      </c>
      <c r="F46" s="215" t="e">
        <f>'10.Grain Production details'!#REF!</f>
        <v>#REF!</v>
      </c>
      <c r="G46" s="215" t="e">
        <f>'10.Grain Production details'!#REF!</f>
        <v>#REF!</v>
      </c>
      <c r="H46" s="215" t="e">
        <f>'10.Grain Production details'!#REF!</f>
        <v>#REF!</v>
      </c>
      <c r="I46" s="215" t="e">
        <f>'10.Grain Production details'!#REF!</f>
        <v>#REF!</v>
      </c>
    </row>
    <row r="47" spans="1:9">
      <c r="A47" s="84" t="e">
        <f>'10.Grain Production details'!#REF!</f>
        <v>#REF!</v>
      </c>
      <c r="B47" s="168"/>
      <c r="C47" s="215" t="e">
        <f>'10.Grain Production details'!#REF!</f>
        <v>#REF!</v>
      </c>
      <c r="D47" s="215" t="e">
        <f>'10.Grain Production details'!#REF!</f>
        <v>#REF!</v>
      </c>
      <c r="E47" s="215" t="e">
        <f>'10.Grain Production details'!#REF!</f>
        <v>#REF!</v>
      </c>
      <c r="F47" s="215" t="e">
        <f>'10.Grain Production details'!#REF!</f>
        <v>#REF!</v>
      </c>
      <c r="G47" s="215" t="e">
        <f>'10.Grain Production details'!#REF!</f>
        <v>#REF!</v>
      </c>
      <c r="H47" s="215" t="e">
        <f>'10.Grain Production details'!#REF!</f>
        <v>#REF!</v>
      </c>
      <c r="I47" s="215" t="e">
        <f>'10.Grain Production details'!#REF!</f>
        <v>#REF!</v>
      </c>
    </row>
    <row r="48" spans="1:9">
      <c r="A48" s="84" t="e">
        <f>'10.Grain Production details'!#REF!</f>
        <v>#REF!</v>
      </c>
      <c r="B48" s="168"/>
      <c r="C48" s="215" t="e">
        <f>'10.Grain Production details'!#REF!</f>
        <v>#REF!</v>
      </c>
      <c r="D48" s="215" t="e">
        <f>'10.Grain Production details'!#REF!</f>
        <v>#REF!</v>
      </c>
      <c r="E48" s="215" t="e">
        <f>'10.Grain Production details'!#REF!</f>
        <v>#REF!</v>
      </c>
      <c r="F48" s="215" t="e">
        <f>'10.Grain Production details'!#REF!</f>
        <v>#REF!</v>
      </c>
      <c r="G48" s="215" t="e">
        <f>'10.Grain Production details'!#REF!</f>
        <v>#REF!</v>
      </c>
      <c r="H48" s="215" t="e">
        <f>'10.Grain Production details'!#REF!</f>
        <v>#REF!</v>
      </c>
      <c r="I48" s="215" t="e">
        <f>'10.Grain Production details'!#REF!</f>
        <v>#REF!</v>
      </c>
    </row>
    <row r="49" spans="1:9">
      <c r="A49" s="84" t="e">
        <f>'10.Grain Production details'!#REF!</f>
        <v>#REF!</v>
      </c>
      <c r="B49" s="168"/>
      <c r="C49" s="215" t="e">
        <f>'10.Grain Production details'!#REF!</f>
        <v>#REF!</v>
      </c>
      <c r="D49" s="215" t="e">
        <f>'10.Grain Production details'!#REF!</f>
        <v>#REF!</v>
      </c>
      <c r="E49" s="215" t="e">
        <f>'10.Grain Production details'!#REF!</f>
        <v>#REF!</v>
      </c>
      <c r="F49" s="215" t="e">
        <f>'10.Grain Production details'!#REF!</f>
        <v>#REF!</v>
      </c>
      <c r="G49" s="215" t="e">
        <f>'10.Grain Production details'!#REF!</f>
        <v>#REF!</v>
      </c>
      <c r="H49" s="215" t="e">
        <f>'10.Grain Production details'!#REF!</f>
        <v>#REF!</v>
      </c>
      <c r="I49" s="215" t="e">
        <f>'10.Grain Production details'!#REF!</f>
        <v>#REF!</v>
      </c>
    </row>
    <row r="50" spans="1:9">
      <c r="A50" s="84" t="e">
        <f>'10.Grain Production details'!#REF!</f>
        <v>#REF!</v>
      </c>
      <c r="B50" s="168"/>
      <c r="C50" s="215" t="e">
        <f>'10.Grain Production details'!#REF!</f>
        <v>#REF!</v>
      </c>
      <c r="D50" s="215" t="e">
        <f>'10.Grain Production details'!#REF!</f>
        <v>#REF!</v>
      </c>
      <c r="E50" s="215" t="e">
        <f>'10.Grain Production details'!#REF!</f>
        <v>#REF!</v>
      </c>
      <c r="F50" s="215" t="e">
        <f>'10.Grain Production details'!#REF!</f>
        <v>#REF!</v>
      </c>
      <c r="G50" s="215" t="e">
        <f>'10.Grain Production details'!#REF!</f>
        <v>#REF!</v>
      </c>
      <c r="H50" s="215" t="e">
        <f>'10.Grain Production details'!#REF!</f>
        <v>#REF!</v>
      </c>
      <c r="I50" s="215" t="e">
        <f>'10.Grain Production details'!#REF!</f>
        <v>#REF!</v>
      </c>
    </row>
    <row r="51" spans="1:9">
      <c r="A51" s="84" t="e">
        <f>'10.Grain Production details'!#REF!</f>
        <v>#REF!</v>
      </c>
      <c r="B51" s="168"/>
      <c r="C51" s="215" t="e">
        <f>'10.Grain Production details'!#REF!</f>
        <v>#REF!</v>
      </c>
      <c r="D51" s="215" t="e">
        <f>'10.Grain Production details'!#REF!</f>
        <v>#REF!</v>
      </c>
      <c r="E51" s="215" t="e">
        <f>'10.Grain Production details'!#REF!</f>
        <v>#REF!</v>
      </c>
      <c r="F51" s="215" t="e">
        <f>'10.Grain Production details'!#REF!</f>
        <v>#REF!</v>
      </c>
      <c r="G51" s="215" t="e">
        <f>'10.Grain Production details'!#REF!</f>
        <v>#REF!</v>
      </c>
      <c r="H51" s="215" t="e">
        <f>'10.Grain Production details'!#REF!</f>
        <v>#REF!</v>
      </c>
      <c r="I51" s="215" t="e">
        <f>'10.Grain Production details'!#REF!</f>
        <v>#REF!</v>
      </c>
    </row>
    <row r="52" spans="1:9">
      <c r="A52" s="84" t="e">
        <f>'10.Grain Production details'!#REF!</f>
        <v>#REF!</v>
      </c>
      <c r="B52" s="168"/>
      <c r="C52" s="215" t="e">
        <f>'10.Grain Production details'!#REF!</f>
        <v>#REF!</v>
      </c>
      <c r="D52" s="215" t="e">
        <f>'10.Grain Production details'!#REF!</f>
        <v>#REF!</v>
      </c>
      <c r="E52" s="215" t="e">
        <f>'10.Grain Production details'!#REF!</f>
        <v>#REF!</v>
      </c>
      <c r="F52" s="215" t="e">
        <f>'10.Grain Production details'!#REF!</f>
        <v>#REF!</v>
      </c>
      <c r="G52" s="215" t="e">
        <f>'10.Grain Production details'!#REF!</f>
        <v>#REF!</v>
      </c>
      <c r="H52" s="215" t="e">
        <f>'10.Grain Production details'!#REF!</f>
        <v>#REF!</v>
      </c>
      <c r="I52" s="215" t="e">
        <f>'10.Grain Production details'!#REF!</f>
        <v>#REF!</v>
      </c>
    </row>
    <row r="53" spans="1:9">
      <c r="A53" s="84" t="e">
        <f>'10.Grain Production details'!#REF!</f>
        <v>#REF!</v>
      </c>
      <c r="B53" s="168"/>
      <c r="C53" s="215" t="e">
        <f>'10.Grain Production details'!#REF!</f>
        <v>#REF!</v>
      </c>
      <c r="D53" s="215" t="e">
        <f>'10.Grain Production details'!#REF!</f>
        <v>#REF!</v>
      </c>
      <c r="E53" s="215" t="e">
        <f>'10.Grain Production details'!#REF!</f>
        <v>#REF!</v>
      </c>
      <c r="F53" s="215" t="e">
        <f>'10.Grain Production details'!#REF!</f>
        <v>#REF!</v>
      </c>
      <c r="G53" s="215" t="e">
        <f>'10.Grain Production details'!#REF!</f>
        <v>#REF!</v>
      </c>
      <c r="H53" s="215" t="e">
        <f>'10.Grain Production details'!#REF!</f>
        <v>#REF!</v>
      </c>
      <c r="I53" s="215" t="e">
        <f>'10.Grain Production details'!#REF!</f>
        <v>#REF!</v>
      </c>
    </row>
    <row r="54" spans="1:9">
      <c r="A54" s="84" t="e">
        <f>'10.Grain Production details'!#REF!</f>
        <v>#REF!</v>
      </c>
      <c r="B54" s="168"/>
      <c r="C54" s="215" t="e">
        <f>'10.Grain Production details'!#REF!</f>
        <v>#REF!</v>
      </c>
      <c r="D54" s="215" t="e">
        <f>'10.Grain Production details'!#REF!</f>
        <v>#REF!</v>
      </c>
      <c r="E54" s="215" t="e">
        <f>'10.Grain Production details'!#REF!</f>
        <v>#REF!</v>
      </c>
      <c r="F54" s="215" t="e">
        <f>'10.Grain Production details'!#REF!</f>
        <v>#REF!</v>
      </c>
      <c r="G54" s="215" t="e">
        <f>'10.Grain Production details'!#REF!</f>
        <v>#REF!</v>
      </c>
      <c r="H54" s="215" t="e">
        <f>'10.Grain Production details'!#REF!</f>
        <v>#REF!</v>
      </c>
      <c r="I54" s="215" t="e">
        <f>'10.Grain Production details'!#REF!</f>
        <v>#REF!</v>
      </c>
    </row>
    <row r="55" spans="1:9">
      <c r="A55" s="84" t="e">
        <f>'10.Grain Production details'!#REF!</f>
        <v>#REF!</v>
      </c>
      <c r="B55" s="168"/>
      <c r="C55" s="215" t="e">
        <f>'10.Grain Production details'!#REF!</f>
        <v>#REF!</v>
      </c>
      <c r="D55" s="215" t="e">
        <f>'10.Grain Production details'!#REF!</f>
        <v>#REF!</v>
      </c>
      <c r="E55" s="215" t="e">
        <f>'10.Grain Production details'!#REF!</f>
        <v>#REF!</v>
      </c>
      <c r="F55" s="215" t="e">
        <f>'10.Grain Production details'!#REF!</f>
        <v>#REF!</v>
      </c>
      <c r="G55" s="215" t="e">
        <f>'10.Grain Production details'!#REF!</f>
        <v>#REF!</v>
      </c>
      <c r="H55" s="215" t="e">
        <f>'10.Grain Production details'!#REF!</f>
        <v>#REF!</v>
      </c>
      <c r="I55" s="215" t="e">
        <f>'10.Grain Production details'!#REF!</f>
        <v>#REF!</v>
      </c>
    </row>
    <row r="56" spans="1:9">
      <c r="A56" s="84" t="e">
        <f>'10.Grain Production details'!#REF!</f>
        <v>#REF!</v>
      </c>
      <c r="B56" s="168"/>
      <c r="C56" s="215" t="e">
        <f>'10.Grain Production details'!#REF!</f>
        <v>#REF!</v>
      </c>
      <c r="D56" s="215" t="e">
        <f>'10.Grain Production details'!#REF!</f>
        <v>#REF!</v>
      </c>
      <c r="E56" s="215" t="e">
        <f>'10.Grain Production details'!#REF!</f>
        <v>#REF!</v>
      </c>
      <c r="F56" s="215" t="e">
        <f>'10.Grain Production details'!#REF!</f>
        <v>#REF!</v>
      </c>
      <c r="G56" s="215" t="e">
        <f>'10.Grain Production details'!#REF!</f>
        <v>#REF!</v>
      </c>
      <c r="H56" s="215" t="e">
        <f>'10.Grain Production details'!#REF!</f>
        <v>#REF!</v>
      </c>
      <c r="I56" s="215" t="e">
        <f>'10.Grain Production details'!#REF!</f>
        <v>#REF!</v>
      </c>
    </row>
    <row r="57" spans="1:9">
      <c r="A57" s="84" t="e">
        <f>'10.Grain Production details'!#REF!</f>
        <v>#REF!</v>
      </c>
      <c r="B57" s="168"/>
      <c r="C57" s="215" t="e">
        <f>'10.Grain Production details'!#REF!</f>
        <v>#REF!</v>
      </c>
      <c r="D57" s="215" t="e">
        <f>'10.Grain Production details'!#REF!</f>
        <v>#REF!</v>
      </c>
      <c r="E57" s="215" t="e">
        <f>'10.Grain Production details'!#REF!</f>
        <v>#REF!</v>
      </c>
      <c r="F57" s="215" t="e">
        <f>'10.Grain Production details'!#REF!</f>
        <v>#REF!</v>
      </c>
      <c r="G57" s="215" t="e">
        <f>'10.Grain Production details'!#REF!</f>
        <v>#REF!</v>
      </c>
      <c r="H57" s="215" t="e">
        <f>'10.Grain Production details'!#REF!</f>
        <v>#REF!</v>
      </c>
      <c r="I57" s="215" t="e">
        <f>'10.Grain Production details'!#REF!</f>
        <v>#REF!</v>
      </c>
    </row>
    <row r="58" spans="1:9">
      <c r="A58" s="84"/>
      <c r="B58" s="168"/>
      <c r="C58" s="168"/>
      <c r="D58" s="168"/>
      <c r="E58" s="168"/>
      <c r="F58" s="168"/>
      <c r="G58" s="168"/>
      <c r="H58" s="168"/>
      <c r="I58" s="168"/>
    </row>
    <row r="59" spans="1:9">
      <c r="A59" s="86" t="s">
        <v>177</v>
      </c>
      <c r="B59" s="84"/>
      <c r="C59" s="84"/>
      <c r="D59" s="84"/>
      <c r="E59" s="84"/>
      <c r="F59" s="84"/>
      <c r="G59" s="84"/>
      <c r="H59" s="84"/>
      <c r="I59" s="84"/>
    </row>
    <row r="60" spans="1:9">
      <c r="A60" s="86" t="s">
        <v>178</v>
      </c>
      <c r="B60" s="84"/>
      <c r="C60" s="84"/>
      <c r="D60" s="84"/>
      <c r="E60" s="84"/>
      <c r="F60" s="84"/>
      <c r="G60" s="84"/>
      <c r="H60" s="84"/>
      <c r="I60" s="84"/>
    </row>
    <row r="61" spans="1:9">
      <c r="A61" s="86" t="str">
        <f t="shared" ref="A61:A92" si="0">A8</f>
        <v>Kharif Crops</v>
      </c>
      <c r="B61" s="84"/>
      <c r="C61" s="84"/>
      <c r="D61" s="84"/>
      <c r="E61" s="84"/>
      <c r="F61" s="84"/>
      <c r="G61" s="84"/>
      <c r="H61" s="84"/>
      <c r="I61" s="84"/>
    </row>
    <row r="62" spans="1:9">
      <c r="A62" s="84">
        <f t="shared" si="0"/>
        <v>0</v>
      </c>
      <c r="B62" s="191">
        <v>40</v>
      </c>
      <c r="C62" s="169">
        <f>$B62*C9</f>
        <v>0</v>
      </c>
      <c r="D62" s="169">
        <f>$B62*D9</f>
        <v>0</v>
      </c>
      <c r="E62" s="169">
        <f t="shared" ref="E62:I62" si="1">$B62*E9</f>
        <v>0</v>
      </c>
      <c r="F62" s="169">
        <f t="shared" si="1"/>
        <v>0</v>
      </c>
      <c r="G62" s="169">
        <f t="shared" si="1"/>
        <v>0</v>
      </c>
      <c r="H62" s="169">
        <f t="shared" si="1"/>
        <v>0</v>
      </c>
      <c r="I62" s="169">
        <f t="shared" si="1"/>
        <v>0</v>
      </c>
    </row>
    <row r="63" spans="1:9">
      <c r="A63" s="84">
        <f t="shared" si="0"/>
        <v>0</v>
      </c>
      <c r="B63" s="191">
        <v>5</v>
      </c>
      <c r="C63" s="169">
        <f>$B63*C10</f>
        <v>0</v>
      </c>
      <c r="D63" s="169">
        <f t="shared" ref="D63:I63" si="2">$B$63*D10</f>
        <v>0</v>
      </c>
      <c r="E63" s="169">
        <f t="shared" si="2"/>
        <v>0</v>
      </c>
      <c r="F63" s="169">
        <f t="shared" si="2"/>
        <v>0</v>
      </c>
      <c r="G63" s="169">
        <f t="shared" si="2"/>
        <v>0</v>
      </c>
      <c r="H63" s="169">
        <f t="shared" si="2"/>
        <v>0</v>
      </c>
      <c r="I63" s="169">
        <f t="shared" si="2"/>
        <v>0</v>
      </c>
    </row>
    <row r="64" spans="1:9">
      <c r="A64" s="84">
        <f t="shared" si="0"/>
        <v>0</v>
      </c>
      <c r="B64" s="191">
        <v>15</v>
      </c>
      <c r="C64" s="169">
        <f>$B64*C11</f>
        <v>0</v>
      </c>
      <c r="D64" s="169">
        <f t="shared" ref="D64:I64" si="3">$B$64*D11</f>
        <v>0</v>
      </c>
      <c r="E64" s="169">
        <f t="shared" si="3"/>
        <v>0</v>
      </c>
      <c r="F64" s="169">
        <f t="shared" si="3"/>
        <v>0</v>
      </c>
      <c r="G64" s="169">
        <f t="shared" si="3"/>
        <v>0</v>
      </c>
      <c r="H64" s="169">
        <f t="shared" si="3"/>
        <v>0</v>
      </c>
      <c r="I64" s="169">
        <f t="shared" si="3"/>
        <v>0</v>
      </c>
    </row>
    <row r="65" spans="1:9">
      <c r="A65" s="84">
        <f t="shared" si="0"/>
        <v>0</v>
      </c>
      <c r="B65" s="191">
        <v>15</v>
      </c>
      <c r="C65" s="169">
        <f>$B65*C12</f>
        <v>0</v>
      </c>
      <c r="D65" s="169">
        <f t="shared" ref="D65:I67" si="4">$B65*D12</f>
        <v>0</v>
      </c>
      <c r="E65" s="169">
        <f t="shared" si="4"/>
        <v>0</v>
      </c>
      <c r="F65" s="169">
        <f t="shared" si="4"/>
        <v>0</v>
      </c>
      <c r="G65" s="169">
        <f t="shared" si="4"/>
        <v>0</v>
      </c>
      <c r="H65" s="169">
        <f t="shared" si="4"/>
        <v>0</v>
      </c>
      <c r="I65" s="169">
        <f t="shared" si="4"/>
        <v>0</v>
      </c>
    </row>
    <row r="66" spans="1:9">
      <c r="A66" s="84">
        <f t="shared" si="0"/>
        <v>0</v>
      </c>
      <c r="B66" s="191">
        <v>25</v>
      </c>
      <c r="C66" s="169">
        <f>$B66*C13</f>
        <v>0</v>
      </c>
      <c r="D66" s="169">
        <f t="shared" si="4"/>
        <v>0</v>
      </c>
      <c r="E66" s="169">
        <f t="shared" si="4"/>
        <v>0</v>
      </c>
      <c r="F66" s="169">
        <f t="shared" si="4"/>
        <v>0</v>
      </c>
      <c r="G66" s="169">
        <f t="shared" si="4"/>
        <v>0</v>
      </c>
      <c r="H66" s="169">
        <f t="shared" si="4"/>
        <v>0</v>
      </c>
      <c r="I66" s="169">
        <f t="shared" si="4"/>
        <v>0</v>
      </c>
    </row>
    <row r="67" spans="1:9">
      <c r="A67" s="84">
        <f t="shared" si="0"/>
        <v>0</v>
      </c>
      <c r="B67" s="191">
        <v>15</v>
      </c>
      <c r="C67" s="169">
        <f>$B67*C14</f>
        <v>0</v>
      </c>
      <c r="D67" s="169">
        <f t="shared" si="4"/>
        <v>0</v>
      </c>
      <c r="E67" s="169">
        <f t="shared" si="4"/>
        <v>0</v>
      </c>
      <c r="F67" s="169">
        <f t="shared" si="4"/>
        <v>0</v>
      </c>
      <c r="G67" s="169">
        <f t="shared" si="4"/>
        <v>0</v>
      </c>
      <c r="H67" s="169">
        <f t="shared" si="4"/>
        <v>0</v>
      </c>
      <c r="I67" s="169">
        <f t="shared" si="4"/>
        <v>0</v>
      </c>
    </row>
    <row r="68" spans="1:9">
      <c r="A68" s="84">
        <f t="shared" si="0"/>
        <v>0</v>
      </c>
      <c r="B68" s="191">
        <v>5</v>
      </c>
      <c r="C68" s="169">
        <f t="shared" ref="C68:I68" si="5">$B68*C15</f>
        <v>0</v>
      </c>
      <c r="D68" s="169">
        <f t="shared" si="5"/>
        <v>0</v>
      </c>
      <c r="E68" s="169">
        <f t="shared" si="5"/>
        <v>0</v>
      </c>
      <c r="F68" s="169">
        <f t="shared" si="5"/>
        <v>0</v>
      </c>
      <c r="G68" s="169">
        <f t="shared" si="5"/>
        <v>0</v>
      </c>
      <c r="H68" s="169">
        <f t="shared" si="5"/>
        <v>0</v>
      </c>
      <c r="I68" s="169">
        <f t="shared" si="5"/>
        <v>0</v>
      </c>
    </row>
    <row r="69" spans="1:9">
      <c r="A69" s="84">
        <f t="shared" si="0"/>
        <v>0</v>
      </c>
      <c r="B69" s="191">
        <v>5</v>
      </c>
      <c r="C69" s="169">
        <f t="shared" ref="C69:I69" si="6">$B69*C16</f>
        <v>0</v>
      </c>
      <c r="D69" s="169">
        <f t="shared" si="6"/>
        <v>0</v>
      </c>
      <c r="E69" s="169">
        <f t="shared" si="6"/>
        <v>0</v>
      </c>
      <c r="F69" s="169">
        <f t="shared" si="6"/>
        <v>0</v>
      </c>
      <c r="G69" s="169">
        <f t="shared" si="6"/>
        <v>0</v>
      </c>
      <c r="H69" s="169">
        <f t="shared" si="6"/>
        <v>0</v>
      </c>
      <c r="I69" s="169">
        <f t="shared" si="6"/>
        <v>0</v>
      </c>
    </row>
    <row r="70" spans="1:9">
      <c r="A70" s="86" t="str">
        <f t="shared" si="0"/>
        <v>Rabi Crop</v>
      </c>
      <c r="B70" s="191"/>
      <c r="C70" s="169"/>
      <c r="D70" s="169"/>
      <c r="E70" s="169"/>
      <c r="F70" s="169"/>
      <c r="G70" s="169"/>
      <c r="H70" s="169"/>
      <c r="I70" s="169"/>
    </row>
    <row r="71" spans="1:9">
      <c r="A71" s="84">
        <f t="shared" si="0"/>
        <v>0</v>
      </c>
      <c r="B71" s="191">
        <v>20</v>
      </c>
      <c r="C71" s="169">
        <f t="shared" ref="C71:I71" si="7">$B71*C18</f>
        <v>0</v>
      </c>
      <c r="D71" s="169">
        <f t="shared" si="7"/>
        <v>0</v>
      </c>
      <c r="E71" s="169">
        <f t="shared" si="7"/>
        <v>0</v>
      </c>
      <c r="F71" s="169">
        <f t="shared" si="7"/>
        <v>0</v>
      </c>
      <c r="G71" s="169">
        <f t="shared" si="7"/>
        <v>0</v>
      </c>
      <c r="H71" s="169">
        <f t="shared" si="7"/>
        <v>0</v>
      </c>
      <c r="I71" s="169">
        <f t="shared" si="7"/>
        <v>0</v>
      </c>
    </row>
    <row r="72" spans="1:9">
      <c r="A72" s="84">
        <f t="shared" si="0"/>
        <v>0</v>
      </c>
      <c r="B72" s="191">
        <v>25</v>
      </c>
      <c r="C72" s="169">
        <f t="shared" ref="C72:I72" si="8">$B72*C19</f>
        <v>0</v>
      </c>
      <c r="D72" s="169">
        <f t="shared" si="8"/>
        <v>0</v>
      </c>
      <c r="E72" s="169">
        <f t="shared" si="8"/>
        <v>0</v>
      </c>
      <c r="F72" s="169">
        <f t="shared" si="8"/>
        <v>0</v>
      </c>
      <c r="G72" s="169">
        <f t="shared" si="8"/>
        <v>0</v>
      </c>
      <c r="H72" s="169">
        <f t="shared" si="8"/>
        <v>0</v>
      </c>
      <c r="I72" s="169">
        <f t="shared" si="8"/>
        <v>0</v>
      </c>
    </row>
    <row r="73" spans="1:9">
      <c r="A73" s="84">
        <f t="shared" si="0"/>
        <v>0</v>
      </c>
      <c r="B73" s="191">
        <v>5</v>
      </c>
      <c r="C73" s="169">
        <f t="shared" ref="C73:I73" si="9">$B73*C20</f>
        <v>0</v>
      </c>
      <c r="D73" s="169">
        <f t="shared" si="9"/>
        <v>0</v>
      </c>
      <c r="E73" s="169">
        <f t="shared" si="9"/>
        <v>0</v>
      </c>
      <c r="F73" s="169">
        <f t="shared" si="9"/>
        <v>0</v>
      </c>
      <c r="G73" s="169">
        <f t="shared" si="9"/>
        <v>0</v>
      </c>
      <c r="H73" s="169">
        <f t="shared" si="9"/>
        <v>0</v>
      </c>
      <c r="I73" s="169">
        <f t="shared" si="9"/>
        <v>0</v>
      </c>
    </row>
    <row r="74" spans="1:9">
      <c r="A74" s="84">
        <f t="shared" si="0"/>
        <v>0</v>
      </c>
      <c r="B74" s="191">
        <v>20</v>
      </c>
      <c r="C74" s="169">
        <f t="shared" ref="C74:I74" si="10">$B74*C21</f>
        <v>0</v>
      </c>
      <c r="D74" s="169">
        <f t="shared" si="10"/>
        <v>0</v>
      </c>
      <c r="E74" s="169">
        <f t="shared" si="10"/>
        <v>0</v>
      </c>
      <c r="F74" s="169">
        <f t="shared" si="10"/>
        <v>0</v>
      </c>
      <c r="G74" s="169">
        <f t="shared" si="10"/>
        <v>0</v>
      </c>
      <c r="H74" s="169">
        <f t="shared" si="10"/>
        <v>0</v>
      </c>
      <c r="I74" s="169">
        <f t="shared" si="10"/>
        <v>0</v>
      </c>
    </row>
    <row r="75" spans="1:9">
      <c r="A75" s="84">
        <f t="shared" si="0"/>
        <v>0</v>
      </c>
      <c r="B75" s="191"/>
      <c r="C75" s="169">
        <f t="shared" ref="C75:I75" si="11">$B75*C22</f>
        <v>0</v>
      </c>
      <c r="D75" s="169">
        <f t="shared" si="11"/>
        <v>0</v>
      </c>
      <c r="E75" s="169">
        <f t="shared" si="11"/>
        <v>0</v>
      </c>
      <c r="F75" s="169">
        <f t="shared" si="11"/>
        <v>0</v>
      </c>
      <c r="G75" s="169">
        <f t="shared" si="11"/>
        <v>0</v>
      </c>
      <c r="H75" s="169">
        <f t="shared" si="11"/>
        <v>0</v>
      </c>
      <c r="I75" s="169">
        <f t="shared" si="11"/>
        <v>0</v>
      </c>
    </row>
    <row r="76" spans="1:9">
      <c r="A76" s="84">
        <f t="shared" si="0"/>
        <v>0</v>
      </c>
      <c r="B76" s="191"/>
      <c r="C76" s="169">
        <f t="shared" ref="C76:I76" si="12">$B76*C23</f>
        <v>0</v>
      </c>
      <c r="D76" s="169">
        <f t="shared" si="12"/>
        <v>0</v>
      </c>
      <c r="E76" s="169">
        <f t="shared" si="12"/>
        <v>0</v>
      </c>
      <c r="F76" s="169">
        <f t="shared" si="12"/>
        <v>0</v>
      </c>
      <c r="G76" s="169">
        <f t="shared" si="12"/>
        <v>0</v>
      </c>
      <c r="H76" s="169">
        <f t="shared" si="12"/>
        <v>0</v>
      </c>
      <c r="I76" s="169">
        <f t="shared" si="12"/>
        <v>0</v>
      </c>
    </row>
    <row r="77" spans="1:9">
      <c r="A77" s="84">
        <f t="shared" si="0"/>
        <v>0</v>
      </c>
      <c r="B77" s="191"/>
      <c r="C77" s="169">
        <f t="shared" ref="C77:I77" si="13">$B77*C24</f>
        <v>0</v>
      </c>
      <c r="D77" s="169">
        <f t="shared" si="13"/>
        <v>0</v>
      </c>
      <c r="E77" s="169">
        <f t="shared" si="13"/>
        <v>0</v>
      </c>
      <c r="F77" s="169">
        <f t="shared" si="13"/>
        <v>0</v>
      </c>
      <c r="G77" s="169">
        <f t="shared" si="13"/>
        <v>0</v>
      </c>
      <c r="H77" s="169">
        <f t="shared" si="13"/>
        <v>0</v>
      </c>
      <c r="I77" s="169">
        <f t="shared" si="13"/>
        <v>0</v>
      </c>
    </row>
    <row r="78" spans="1:9">
      <c r="A78" s="84">
        <f t="shared" si="0"/>
        <v>0</v>
      </c>
      <c r="B78" s="191"/>
      <c r="C78" s="169">
        <f t="shared" ref="C78:I78" si="14">$B78*C25</f>
        <v>0</v>
      </c>
      <c r="D78" s="169">
        <f t="shared" si="14"/>
        <v>0</v>
      </c>
      <c r="E78" s="169">
        <f t="shared" si="14"/>
        <v>0</v>
      </c>
      <c r="F78" s="169">
        <f t="shared" si="14"/>
        <v>0</v>
      </c>
      <c r="G78" s="169">
        <f t="shared" si="14"/>
        <v>0</v>
      </c>
      <c r="H78" s="169">
        <f t="shared" si="14"/>
        <v>0</v>
      </c>
      <c r="I78" s="169">
        <f t="shared" si="14"/>
        <v>0</v>
      </c>
    </row>
    <row r="79" spans="1:9">
      <c r="A79" s="86">
        <f t="shared" si="0"/>
        <v>0</v>
      </c>
      <c r="B79" s="191"/>
      <c r="C79" s="169"/>
      <c r="D79" s="169"/>
      <c r="E79" s="169"/>
      <c r="F79" s="169"/>
      <c r="G79" s="169"/>
      <c r="H79" s="169"/>
      <c r="I79" s="169"/>
    </row>
    <row r="80" spans="1:9">
      <c r="A80" s="84">
        <f t="shared" si="0"/>
        <v>0</v>
      </c>
      <c r="B80" s="191"/>
      <c r="C80" s="169">
        <f t="shared" ref="C80:I80" si="15">$B80*C27</f>
        <v>0</v>
      </c>
      <c r="D80" s="169">
        <f t="shared" si="15"/>
        <v>0</v>
      </c>
      <c r="E80" s="169">
        <f t="shared" si="15"/>
        <v>0</v>
      </c>
      <c r="F80" s="169">
        <f t="shared" si="15"/>
        <v>0</v>
      </c>
      <c r="G80" s="169">
        <f t="shared" si="15"/>
        <v>0</v>
      </c>
      <c r="H80" s="169">
        <f t="shared" si="15"/>
        <v>0</v>
      </c>
      <c r="I80" s="169">
        <f t="shared" si="15"/>
        <v>0</v>
      </c>
    </row>
    <row r="81" spans="1:9">
      <c r="A81" s="84">
        <f t="shared" si="0"/>
        <v>0</v>
      </c>
      <c r="B81" s="191"/>
      <c r="C81" s="169">
        <f t="shared" ref="C81:I81" si="16">$B81*C28</f>
        <v>0</v>
      </c>
      <c r="D81" s="169">
        <f t="shared" si="16"/>
        <v>0</v>
      </c>
      <c r="E81" s="169">
        <f t="shared" si="16"/>
        <v>0</v>
      </c>
      <c r="F81" s="169">
        <f t="shared" si="16"/>
        <v>0</v>
      </c>
      <c r="G81" s="169">
        <f t="shared" si="16"/>
        <v>0</v>
      </c>
      <c r="H81" s="169">
        <f t="shared" si="16"/>
        <v>0</v>
      </c>
      <c r="I81" s="169">
        <f t="shared" si="16"/>
        <v>0</v>
      </c>
    </row>
    <row r="82" spans="1:9">
      <c r="A82" s="84">
        <f t="shared" si="0"/>
        <v>0</v>
      </c>
      <c r="B82" s="191"/>
      <c r="C82" s="169">
        <f t="shared" ref="C82:I82" si="17">$B82*C29</f>
        <v>0</v>
      </c>
      <c r="D82" s="169">
        <f t="shared" si="17"/>
        <v>0</v>
      </c>
      <c r="E82" s="169">
        <f t="shared" si="17"/>
        <v>0</v>
      </c>
      <c r="F82" s="169">
        <f t="shared" si="17"/>
        <v>0</v>
      </c>
      <c r="G82" s="169">
        <f t="shared" si="17"/>
        <v>0</v>
      </c>
      <c r="H82" s="169">
        <f t="shared" si="17"/>
        <v>0</v>
      </c>
      <c r="I82" s="169">
        <f t="shared" si="17"/>
        <v>0</v>
      </c>
    </row>
    <row r="83" spans="1:9">
      <c r="A83" s="84">
        <f t="shared" si="0"/>
        <v>0</v>
      </c>
      <c r="B83" s="191"/>
      <c r="C83" s="169">
        <f t="shared" ref="C83:I83" si="18">$B83*C30</f>
        <v>0</v>
      </c>
      <c r="D83" s="169">
        <f t="shared" si="18"/>
        <v>0</v>
      </c>
      <c r="E83" s="169">
        <f t="shared" si="18"/>
        <v>0</v>
      </c>
      <c r="F83" s="169">
        <f t="shared" si="18"/>
        <v>0</v>
      </c>
      <c r="G83" s="169">
        <f t="shared" si="18"/>
        <v>0</v>
      </c>
      <c r="H83" s="169">
        <f t="shared" si="18"/>
        <v>0</v>
      </c>
      <c r="I83" s="169">
        <f t="shared" si="18"/>
        <v>0</v>
      </c>
    </row>
    <row r="84" spans="1:9">
      <c r="A84" s="84">
        <f t="shared" si="0"/>
        <v>0</v>
      </c>
      <c r="B84" s="191"/>
      <c r="C84" s="169">
        <f t="shared" ref="C84:I84" si="19">$B84*C31</f>
        <v>0</v>
      </c>
      <c r="D84" s="169">
        <f t="shared" si="19"/>
        <v>0</v>
      </c>
      <c r="E84" s="169">
        <f t="shared" si="19"/>
        <v>0</v>
      </c>
      <c r="F84" s="169">
        <f t="shared" si="19"/>
        <v>0</v>
      </c>
      <c r="G84" s="169">
        <f t="shared" si="19"/>
        <v>0</v>
      </c>
      <c r="H84" s="169">
        <f t="shared" si="19"/>
        <v>0</v>
      </c>
      <c r="I84" s="169">
        <f t="shared" si="19"/>
        <v>0</v>
      </c>
    </row>
    <row r="85" spans="1:9">
      <c r="A85" s="86" t="str">
        <f t="shared" si="0"/>
        <v>Grains Crops and  Production Details</v>
      </c>
      <c r="B85" s="191"/>
      <c r="C85" s="169"/>
      <c r="D85" s="169"/>
      <c r="E85" s="169"/>
      <c r="F85" s="169"/>
      <c r="G85" s="169"/>
      <c r="H85" s="169"/>
      <c r="I85" s="169"/>
    </row>
    <row r="86" spans="1:9">
      <c r="A86" s="84">
        <f t="shared" si="0"/>
        <v>0</v>
      </c>
      <c r="B86" s="191"/>
      <c r="C86" s="169">
        <f t="shared" ref="C86:I86" si="20">$B86*C33</f>
        <v>0</v>
      </c>
      <c r="D86" s="169">
        <f t="shared" si="20"/>
        <v>0</v>
      </c>
      <c r="E86" s="169">
        <f t="shared" si="20"/>
        <v>0</v>
      </c>
      <c r="F86" s="169">
        <f t="shared" si="20"/>
        <v>0</v>
      </c>
      <c r="G86" s="169">
        <f t="shared" si="20"/>
        <v>0</v>
      </c>
      <c r="H86" s="169">
        <f t="shared" si="20"/>
        <v>0</v>
      </c>
      <c r="I86" s="169">
        <f t="shared" si="20"/>
        <v>0</v>
      </c>
    </row>
    <row r="87" spans="1:9">
      <c r="A87" s="84" t="e">
        <f t="shared" si="0"/>
        <v>#REF!</v>
      </c>
      <c r="B87" s="191"/>
      <c r="C87" s="169" t="e">
        <f t="shared" ref="C87:I87" si="21">$B87*C34</f>
        <v>#REF!</v>
      </c>
      <c r="D87" s="169" t="e">
        <f t="shared" si="21"/>
        <v>#REF!</v>
      </c>
      <c r="E87" s="169" t="e">
        <f t="shared" si="21"/>
        <v>#REF!</v>
      </c>
      <c r="F87" s="169" t="e">
        <f t="shared" si="21"/>
        <v>#REF!</v>
      </c>
      <c r="G87" s="169" t="e">
        <f t="shared" si="21"/>
        <v>#REF!</v>
      </c>
      <c r="H87" s="169" t="e">
        <f t="shared" si="21"/>
        <v>#REF!</v>
      </c>
      <c r="I87" s="169" t="e">
        <f t="shared" si="21"/>
        <v>#REF!</v>
      </c>
    </row>
    <row r="88" spans="1:9">
      <c r="A88" s="84" t="e">
        <f t="shared" si="0"/>
        <v>#REF!</v>
      </c>
      <c r="B88" s="191"/>
      <c r="C88" s="169" t="e">
        <f t="shared" ref="C88:I88" si="22">$B88*C35</f>
        <v>#REF!</v>
      </c>
      <c r="D88" s="169" t="e">
        <f t="shared" si="22"/>
        <v>#REF!</v>
      </c>
      <c r="E88" s="169" t="e">
        <f t="shared" si="22"/>
        <v>#REF!</v>
      </c>
      <c r="F88" s="169" t="e">
        <f t="shared" si="22"/>
        <v>#REF!</v>
      </c>
      <c r="G88" s="169" t="e">
        <f t="shared" si="22"/>
        <v>#REF!</v>
      </c>
      <c r="H88" s="169" t="e">
        <f t="shared" si="22"/>
        <v>#REF!</v>
      </c>
      <c r="I88" s="169" t="e">
        <f t="shared" si="22"/>
        <v>#REF!</v>
      </c>
    </row>
    <row r="89" spans="1:9">
      <c r="A89" s="84" t="str">
        <f t="shared" si="0"/>
        <v xml:space="preserve">Safflower Seed </v>
      </c>
      <c r="B89" s="191"/>
      <c r="C89" s="169">
        <f t="shared" ref="C89:I89" si="23">$B89*C36</f>
        <v>0</v>
      </c>
      <c r="D89" s="169">
        <f t="shared" si="23"/>
        <v>0</v>
      </c>
      <c r="E89" s="169">
        <f t="shared" si="23"/>
        <v>0</v>
      </c>
      <c r="F89" s="169">
        <f t="shared" si="23"/>
        <v>0</v>
      </c>
      <c r="G89" s="169">
        <f t="shared" si="23"/>
        <v>0</v>
      </c>
      <c r="H89" s="169">
        <f t="shared" si="23"/>
        <v>0</v>
      </c>
      <c r="I89" s="169">
        <f t="shared" si="23"/>
        <v>0</v>
      </c>
    </row>
    <row r="90" spans="1:9">
      <c r="A90" s="84" t="e">
        <f t="shared" si="0"/>
        <v>#REF!</v>
      </c>
      <c r="B90" s="191"/>
      <c r="C90" s="169" t="e">
        <f t="shared" ref="C90:I90" si="24">$B90*C37</f>
        <v>#REF!</v>
      </c>
      <c r="D90" s="169" t="e">
        <f t="shared" si="24"/>
        <v>#REF!</v>
      </c>
      <c r="E90" s="169" t="e">
        <f t="shared" si="24"/>
        <v>#REF!</v>
      </c>
      <c r="F90" s="169" t="e">
        <f t="shared" si="24"/>
        <v>#REF!</v>
      </c>
      <c r="G90" s="169" t="e">
        <f t="shared" si="24"/>
        <v>#REF!</v>
      </c>
      <c r="H90" s="169" t="e">
        <f t="shared" si="24"/>
        <v>#REF!</v>
      </c>
      <c r="I90" s="169" t="e">
        <f t="shared" si="24"/>
        <v>#REF!</v>
      </c>
    </row>
    <row r="91" spans="1:9">
      <c r="A91" s="84" t="e">
        <f t="shared" si="0"/>
        <v>#REF!</v>
      </c>
      <c r="B91" s="191"/>
      <c r="C91" s="169" t="e">
        <f t="shared" ref="C91:I91" si="25">$B91*C38</f>
        <v>#REF!</v>
      </c>
      <c r="D91" s="169" t="e">
        <f t="shared" si="25"/>
        <v>#REF!</v>
      </c>
      <c r="E91" s="169" t="e">
        <f t="shared" si="25"/>
        <v>#REF!</v>
      </c>
      <c r="F91" s="169" t="e">
        <f t="shared" si="25"/>
        <v>#REF!</v>
      </c>
      <c r="G91" s="169" t="e">
        <f t="shared" si="25"/>
        <v>#REF!</v>
      </c>
      <c r="H91" s="169" t="e">
        <f t="shared" si="25"/>
        <v>#REF!</v>
      </c>
      <c r="I91" s="169" t="e">
        <f t="shared" si="25"/>
        <v>#REF!</v>
      </c>
    </row>
    <row r="92" spans="1:9">
      <c r="A92" s="84" t="e">
        <f t="shared" si="0"/>
        <v>#REF!</v>
      </c>
      <c r="B92" s="191"/>
      <c r="C92" s="169" t="e">
        <f t="shared" ref="C92:I92" si="26">$B92*C39</f>
        <v>#REF!</v>
      </c>
      <c r="D92" s="169" t="e">
        <f t="shared" si="26"/>
        <v>#REF!</v>
      </c>
      <c r="E92" s="169" t="e">
        <f t="shared" si="26"/>
        <v>#REF!</v>
      </c>
      <c r="F92" s="169" t="e">
        <f t="shared" si="26"/>
        <v>#REF!</v>
      </c>
      <c r="G92" s="169" t="e">
        <f t="shared" si="26"/>
        <v>#REF!</v>
      </c>
      <c r="H92" s="169" t="e">
        <f t="shared" si="26"/>
        <v>#REF!</v>
      </c>
      <c r="I92" s="169" t="e">
        <f t="shared" si="26"/>
        <v>#REF!</v>
      </c>
    </row>
    <row r="93" spans="1:9">
      <c r="A93" s="84" t="e">
        <f t="shared" ref="A93:A110" si="27">A40</f>
        <v>#REF!</v>
      </c>
      <c r="B93" s="191"/>
      <c r="C93" s="169" t="e">
        <f t="shared" ref="C93:I93" si="28">$B93*C40</f>
        <v>#REF!</v>
      </c>
      <c r="D93" s="169" t="e">
        <f t="shared" si="28"/>
        <v>#REF!</v>
      </c>
      <c r="E93" s="169" t="e">
        <f t="shared" si="28"/>
        <v>#REF!</v>
      </c>
      <c r="F93" s="169" t="e">
        <f t="shared" si="28"/>
        <v>#REF!</v>
      </c>
      <c r="G93" s="169" t="e">
        <f t="shared" si="28"/>
        <v>#REF!</v>
      </c>
      <c r="H93" s="169" t="e">
        <f t="shared" si="28"/>
        <v>#REF!</v>
      </c>
      <c r="I93" s="169" t="e">
        <f t="shared" si="28"/>
        <v>#REF!</v>
      </c>
    </row>
    <row r="94" spans="1:9">
      <c r="A94" s="84" t="e">
        <f t="shared" si="27"/>
        <v>#REF!</v>
      </c>
      <c r="B94" s="191"/>
      <c r="C94" s="169" t="e">
        <f t="shared" ref="C94:I94" si="29">$B94*C41</f>
        <v>#REF!</v>
      </c>
      <c r="D94" s="169" t="e">
        <f t="shared" si="29"/>
        <v>#REF!</v>
      </c>
      <c r="E94" s="169" t="e">
        <f t="shared" si="29"/>
        <v>#REF!</v>
      </c>
      <c r="F94" s="169" t="e">
        <f t="shared" si="29"/>
        <v>#REF!</v>
      </c>
      <c r="G94" s="169" t="e">
        <f t="shared" si="29"/>
        <v>#REF!</v>
      </c>
      <c r="H94" s="169" t="e">
        <f t="shared" si="29"/>
        <v>#REF!</v>
      </c>
      <c r="I94" s="169" t="e">
        <f t="shared" si="29"/>
        <v>#REF!</v>
      </c>
    </row>
    <row r="95" spans="1:9">
      <c r="A95" s="84" t="e">
        <f t="shared" si="27"/>
        <v>#REF!</v>
      </c>
      <c r="B95" s="191"/>
      <c r="C95" s="169" t="e">
        <f t="shared" ref="C95:I95" si="30">$B95*C42</f>
        <v>#REF!</v>
      </c>
      <c r="D95" s="169" t="e">
        <f t="shared" si="30"/>
        <v>#REF!</v>
      </c>
      <c r="E95" s="169" t="e">
        <f t="shared" si="30"/>
        <v>#REF!</v>
      </c>
      <c r="F95" s="169" t="e">
        <f t="shared" si="30"/>
        <v>#REF!</v>
      </c>
      <c r="G95" s="169" t="e">
        <f t="shared" si="30"/>
        <v>#REF!</v>
      </c>
      <c r="H95" s="169" t="e">
        <f t="shared" si="30"/>
        <v>#REF!</v>
      </c>
      <c r="I95" s="169" t="e">
        <f t="shared" si="30"/>
        <v>#REF!</v>
      </c>
    </row>
    <row r="96" spans="1:9">
      <c r="A96" s="84" t="e">
        <f t="shared" si="27"/>
        <v>#REF!</v>
      </c>
      <c r="B96" s="191"/>
      <c r="C96" s="169" t="e">
        <f t="shared" ref="C96:I96" si="31">$B96*C43</f>
        <v>#REF!</v>
      </c>
      <c r="D96" s="169" t="e">
        <f t="shared" si="31"/>
        <v>#REF!</v>
      </c>
      <c r="E96" s="169" t="e">
        <f t="shared" si="31"/>
        <v>#REF!</v>
      </c>
      <c r="F96" s="169" t="e">
        <f t="shared" si="31"/>
        <v>#REF!</v>
      </c>
      <c r="G96" s="169" t="e">
        <f t="shared" si="31"/>
        <v>#REF!</v>
      </c>
      <c r="H96" s="169" t="e">
        <f t="shared" si="31"/>
        <v>#REF!</v>
      </c>
      <c r="I96" s="169" t="e">
        <f t="shared" si="31"/>
        <v>#REF!</v>
      </c>
    </row>
    <row r="97" spans="1:9">
      <c r="A97" s="84" t="e">
        <f t="shared" si="27"/>
        <v>#REF!</v>
      </c>
      <c r="B97" s="191"/>
      <c r="C97" s="169" t="e">
        <f t="shared" ref="C97:I97" si="32">$B97*C44</f>
        <v>#REF!</v>
      </c>
      <c r="D97" s="169" t="e">
        <f t="shared" si="32"/>
        <v>#REF!</v>
      </c>
      <c r="E97" s="169" t="e">
        <f t="shared" si="32"/>
        <v>#REF!</v>
      </c>
      <c r="F97" s="169" t="e">
        <f t="shared" si="32"/>
        <v>#REF!</v>
      </c>
      <c r="G97" s="169" t="e">
        <f t="shared" si="32"/>
        <v>#REF!</v>
      </c>
      <c r="H97" s="169" t="e">
        <f t="shared" si="32"/>
        <v>#REF!</v>
      </c>
      <c r="I97" s="169" t="e">
        <f t="shared" si="32"/>
        <v>#REF!</v>
      </c>
    </row>
    <row r="98" spans="1:9">
      <c r="A98" s="84" t="e">
        <f t="shared" si="27"/>
        <v>#REF!</v>
      </c>
      <c r="B98" s="191"/>
      <c r="C98" s="169" t="e">
        <f t="shared" ref="C98:I98" si="33">$B98*C45</f>
        <v>#REF!</v>
      </c>
      <c r="D98" s="169" t="e">
        <f t="shared" si="33"/>
        <v>#REF!</v>
      </c>
      <c r="E98" s="169" t="e">
        <f t="shared" si="33"/>
        <v>#REF!</v>
      </c>
      <c r="F98" s="169" t="e">
        <f t="shared" si="33"/>
        <v>#REF!</v>
      </c>
      <c r="G98" s="169" t="e">
        <f t="shared" si="33"/>
        <v>#REF!</v>
      </c>
      <c r="H98" s="169" t="e">
        <f t="shared" si="33"/>
        <v>#REF!</v>
      </c>
      <c r="I98" s="169" t="e">
        <f t="shared" si="33"/>
        <v>#REF!</v>
      </c>
    </row>
    <row r="99" spans="1:9">
      <c r="A99" s="84" t="e">
        <f t="shared" si="27"/>
        <v>#REF!</v>
      </c>
      <c r="B99" s="191"/>
      <c r="C99" s="169" t="e">
        <f t="shared" ref="C99:I99" si="34">$B99*C46</f>
        <v>#REF!</v>
      </c>
      <c r="D99" s="169" t="e">
        <f t="shared" si="34"/>
        <v>#REF!</v>
      </c>
      <c r="E99" s="169" t="e">
        <f t="shared" si="34"/>
        <v>#REF!</v>
      </c>
      <c r="F99" s="169" t="e">
        <f t="shared" si="34"/>
        <v>#REF!</v>
      </c>
      <c r="G99" s="169" t="e">
        <f t="shared" si="34"/>
        <v>#REF!</v>
      </c>
      <c r="H99" s="169" t="e">
        <f t="shared" si="34"/>
        <v>#REF!</v>
      </c>
      <c r="I99" s="169" t="e">
        <f t="shared" si="34"/>
        <v>#REF!</v>
      </c>
    </row>
    <row r="100" spans="1:9">
      <c r="A100" s="84" t="e">
        <f t="shared" si="27"/>
        <v>#REF!</v>
      </c>
      <c r="B100" s="191"/>
      <c r="C100" s="169" t="e">
        <f t="shared" ref="C100:I100" si="35">$B100*C47</f>
        <v>#REF!</v>
      </c>
      <c r="D100" s="169" t="e">
        <f t="shared" si="35"/>
        <v>#REF!</v>
      </c>
      <c r="E100" s="169" t="e">
        <f t="shared" si="35"/>
        <v>#REF!</v>
      </c>
      <c r="F100" s="169" t="e">
        <f t="shared" si="35"/>
        <v>#REF!</v>
      </c>
      <c r="G100" s="169" t="e">
        <f t="shared" si="35"/>
        <v>#REF!</v>
      </c>
      <c r="H100" s="169" t="e">
        <f t="shared" si="35"/>
        <v>#REF!</v>
      </c>
      <c r="I100" s="169" t="e">
        <f t="shared" si="35"/>
        <v>#REF!</v>
      </c>
    </row>
    <row r="101" spans="1:9">
      <c r="A101" s="84" t="e">
        <f t="shared" si="27"/>
        <v>#REF!</v>
      </c>
      <c r="B101" s="191"/>
      <c r="C101" s="169" t="e">
        <f t="shared" ref="C101:I101" si="36">$B101*C48</f>
        <v>#REF!</v>
      </c>
      <c r="D101" s="169" t="e">
        <f t="shared" si="36"/>
        <v>#REF!</v>
      </c>
      <c r="E101" s="169" t="e">
        <f t="shared" si="36"/>
        <v>#REF!</v>
      </c>
      <c r="F101" s="169" t="e">
        <f t="shared" si="36"/>
        <v>#REF!</v>
      </c>
      <c r="G101" s="169" t="e">
        <f t="shared" si="36"/>
        <v>#REF!</v>
      </c>
      <c r="H101" s="169" t="e">
        <f t="shared" si="36"/>
        <v>#REF!</v>
      </c>
      <c r="I101" s="169" t="e">
        <f t="shared" si="36"/>
        <v>#REF!</v>
      </c>
    </row>
    <row r="102" spans="1:9">
      <c r="A102" s="84" t="e">
        <f t="shared" si="27"/>
        <v>#REF!</v>
      </c>
      <c r="B102" s="191"/>
      <c r="C102" s="169" t="e">
        <f t="shared" ref="C102:I102" si="37">$B102*C49</f>
        <v>#REF!</v>
      </c>
      <c r="D102" s="169" t="e">
        <f t="shared" si="37"/>
        <v>#REF!</v>
      </c>
      <c r="E102" s="169" t="e">
        <f t="shared" si="37"/>
        <v>#REF!</v>
      </c>
      <c r="F102" s="169" t="e">
        <f t="shared" si="37"/>
        <v>#REF!</v>
      </c>
      <c r="G102" s="169" t="e">
        <f t="shared" si="37"/>
        <v>#REF!</v>
      </c>
      <c r="H102" s="169" t="e">
        <f t="shared" si="37"/>
        <v>#REF!</v>
      </c>
      <c r="I102" s="169" t="e">
        <f t="shared" si="37"/>
        <v>#REF!</v>
      </c>
    </row>
    <row r="103" spans="1:9">
      <c r="A103" s="84" t="e">
        <f t="shared" si="27"/>
        <v>#REF!</v>
      </c>
      <c r="B103" s="191"/>
      <c r="C103" s="169" t="e">
        <f t="shared" ref="C103:I103" si="38">$B103*C50</f>
        <v>#REF!</v>
      </c>
      <c r="D103" s="169" t="e">
        <f t="shared" si="38"/>
        <v>#REF!</v>
      </c>
      <c r="E103" s="169" t="e">
        <f t="shared" si="38"/>
        <v>#REF!</v>
      </c>
      <c r="F103" s="169" t="e">
        <f t="shared" si="38"/>
        <v>#REF!</v>
      </c>
      <c r="G103" s="169" t="e">
        <f t="shared" si="38"/>
        <v>#REF!</v>
      </c>
      <c r="H103" s="169" t="e">
        <f t="shared" si="38"/>
        <v>#REF!</v>
      </c>
      <c r="I103" s="169" t="e">
        <f t="shared" si="38"/>
        <v>#REF!</v>
      </c>
    </row>
    <row r="104" spans="1:9">
      <c r="A104" s="84" t="e">
        <f t="shared" si="27"/>
        <v>#REF!</v>
      </c>
      <c r="B104" s="191"/>
      <c r="C104" s="169" t="e">
        <f t="shared" ref="C104:I104" si="39">$B104*C51</f>
        <v>#REF!</v>
      </c>
      <c r="D104" s="169" t="e">
        <f t="shared" si="39"/>
        <v>#REF!</v>
      </c>
      <c r="E104" s="169" t="e">
        <f t="shared" si="39"/>
        <v>#REF!</v>
      </c>
      <c r="F104" s="169" t="e">
        <f t="shared" si="39"/>
        <v>#REF!</v>
      </c>
      <c r="G104" s="169" t="e">
        <f t="shared" si="39"/>
        <v>#REF!</v>
      </c>
      <c r="H104" s="169" t="e">
        <f t="shared" si="39"/>
        <v>#REF!</v>
      </c>
      <c r="I104" s="169" t="e">
        <f t="shared" si="39"/>
        <v>#REF!</v>
      </c>
    </row>
    <row r="105" spans="1:9">
      <c r="A105" s="84" t="e">
        <f t="shared" si="27"/>
        <v>#REF!</v>
      </c>
      <c r="B105" s="191"/>
      <c r="C105" s="169" t="e">
        <f t="shared" ref="C105:I105" si="40">$B105*C52</f>
        <v>#REF!</v>
      </c>
      <c r="D105" s="169" t="e">
        <f t="shared" si="40"/>
        <v>#REF!</v>
      </c>
      <c r="E105" s="169" t="e">
        <f t="shared" si="40"/>
        <v>#REF!</v>
      </c>
      <c r="F105" s="169" t="e">
        <f t="shared" si="40"/>
        <v>#REF!</v>
      </c>
      <c r="G105" s="169" t="e">
        <f t="shared" si="40"/>
        <v>#REF!</v>
      </c>
      <c r="H105" s="169" t="e">
        <f t="shared" si="40"/>
        <v>#REF!</v>
      </c>
      <c r="I105" s="169" t="e">
        <f t="shared" si="40"/>
        <v>#REF!</v>
      </c>
    </row>
    <row r="106" spans="1:9">
      <c r="A106" s="84" t="e">
        <f t="shared" si="27"/>
        <v>#REF!</v>
      </c>
      <c r="B106" s="191"/>
      <c r="C106" s="169" t="e">
        <f t="shared" ref="C106:I106" si="41">$B106*C53</f>
        <v>#REF!</v>
      </c>
      <c r="D106" s="169" t="e">
        <f t="shared" si="41"/>
        <v>#REF!</v>
      </c>
      <c r="E106" s="169" t="e">
        <f t="shared" si="41"/>
        <v>#REF!</v>
      </c>
      <c r="F106" s="169" t="e">
        <f t="shared" si="41"/>
        <v>#REF!</v>
      </c>
      <c r="G106" s="169" t="e">
        <f t="shared" si="41"/>
        <v>#REF!</v>
      </c>
      <c r="H106" s="169" t="e">
        <f t="shared" si="41"/>
        <v>#REF!</v>
      </c>
      <c r="I106" s="169" t="e">
        <f t="shared" si="41"/>
        <v>#REF!</v>
      </c>
    </row>
    <row r="107" spans="1:9">
      <c r="A107" s="84" t="e">
        <f t="shared" si="27"/>
        <v>#REF!</v>
      </c>
      <c r="B107" s="191"/>
      <c r="C107" s="169" t="e">
        <f t="shared" ref="C107:I107" si="42">$B107*C54</f>
        <v>#REF!</v>
      </c>
      <c r="D107" s="169" t="e">
        <f t="shared" si="42"/>
        <v>#REF!</v>
      </c>
      <c r="E107" s="169" t="e">
        <f t="shared" si="42"/>
        <v>#REF!</v>
      </c>
      <c r="F107" s="169" t="e">
        <f t="shared" si="42"/>
        <v>#REF!</v>
      </c>
      <c r="G107" s="169" t="e">
        <f t="shared" si="42"/>
        <v>#REF!</v>
      </c>
      <c r="H107" s="169" t="e">
        <f t="shared" si="42"/>
        <v>#REF!</v>
      </c>
      <c r="I107" s="169" t="e">
        <f t="shared" si="42"/>
        <v>#REF!</v>
      </c>
    </row>
    <row r="108" spans="1:9">
      <c r="A108" s="84" t="e">
        <f t="shared" si="27"/>
        <v>#REF!</v>
      </c>
      <c r="B108" s="191"/>
      <c r="C108" s="169" t="e">
        <f t="shared" ref="C108:I108" si="43">$B108*C55</f>
        <v>#REF!</v>
      </c>
      <c r="D108" s="169" t="e">
        <f t="shared" si="43"/>
        <v>#REF!</v>
      </c>
      <c r="E108" s="169" t="e">
        <f t="shared" si="43"/>
        <v>#REF!</v>
      </c>
      <c r="F108" s="169" t="e">
        <f t="shared" si="43"/>
        <v>#REF!</v>
      </c>
      <c r="G108" s="169" t="e">
        <f t="shared" si="43"/>
        <v>#REF!</v>
      </c>
      <c r="H108" s="169" t="e">
        <f t="shared" si="43"/>
        <v>#REF!</v>
      </c>
      <c r="I108" s="169" t="e">
        <f t="shared" si="43"/>
        <v>#REF!</v>
      </c>
    </row>
    <row r="109" spans="1:9">
      <c r="A109" s="84" t="e">
        <f t="shared" si="27"/>
        <v>#REF!</v>
      </c>
      <c r="B109" s="191"/>
      <c r="C109" s="169" t="e">
        <f t="shared" ref="C109:I109" si="44">$B109*C56</f>
        <v>#REF!</v>
      </c>
      <c r="D109" s="169" t="e">
        <f t="shared" si="44"/>
        <v>#REF!</v>
      </c>
      <c r="E109" s="169" t="e">
        <f t="shared" si="44"/>
        <v>#REF!</v>
      </c>
      <c r="F109" s="169" t="e">
        <f t="shared" si="44"/>
        <v>#REF!</v>
      </c>
      <c r="G109" s="169" t="e">
        <f t="shared" si="44"/>
        <v>#REF!</v>
      </c>
      <c r="H109" s="169" t="e">
        <f t="shared" si="44"/>
        <v>#REF!</v>
      </c>
      <c r="I109" s="169" t="e">
        <f t="shared" si="44"/>
        <v>#REF!</v>
      </c>
    </row>
    <row r="110" spans="1:9">
      <c r="A110" s="84" t="e">
        <f t="shared" si="27"/>
        <v>#REF!</v>
      </c>
      <c r="B110" s="191"/>
      <c r="C110" s="169" t="e">
        <f t="shared" ref="C110:I110" si="45">$B110*C57</f>
        <v>#REF!</v>
      </c>
      <c r="D110" s="169" t="e">
        <f t="shared" si="45"/>
        <v>#REF!</v>
      </c>
      <c r="E110" s="169" t="e">
        <f t="shared" si="45"/>
        <v>#REF!</v>
      </c>
      <c r="F110" s="169" t="e">
        <f t="shared" si="45"/>
        <v>#REF!</v>
      </c>
      <c r="G110" s="169" t="e">
        <f t="shared" si="45"/>
        <v>#REF!</v>
      </c>
      <c r="H110" s="169" t="e">
        <f t="shared" si="45"/>
        <v>#REF!</v>
      </c>
      <c r="I110" s="169" t="e">
        <f t="shared" si="45"/>
        <v>#REF!</v>
      </c>
    </row>
    <row r="111" spans="1:9">
      <c r="A111" s="84"/>
      <c r="B111" s="191"/>
      <c r="C111" s="169"/>
      <c r="D111" s="169"/>
      <c r="E111" s="169"/>
      <c r="F111" s="169"/>
      <c r="G111" s="169"/>
      <c r="H111" s="169"/>
      <c r="I111" s="169"/>
    </row>
    <row r="112" spans="1:9">
      <c r="A112" s="84"/>
      <c r="B112" s="191"/>
      <c r="C112" s="169"/>
      <c r="D112" s="169"/>
      <c r="E112" s="169"/>
      <c r="F112" s="169"/>
      <c r="G112" s="169"/>
      <c r="H112" s="169"/>
      <c r="I112" s="169"/>
    </row>
    <row r="113" spans="1:23">
      <c r="A113" s="86" t="s">
        <v>179</v>
      </c>
      <c r="B113" s="84"/>
      <c r="C113" s="84"/>
      <c r="D113" s="84"/>
      <c r="E113" s="84"/>
      <c r="F113" s="84"/>
      <c r="G113" s="84"/>
      <c r="H113" s="84"/>
      <c r="I113" s="84"/>
    </row>
    <row r="114" spans="1:23">
      <c r="A114" s="84" t="s">
        <v>386</v>
      </c>
      <c r="B114" s="191">
        <v>100</v>
      </c>
      <c r="C114" s="169" t="e">
        <f>SUM(C62:C110)*$B$114</f>
        <v>#REF!</v>
      </c>
      <c r="D114" s="169" t="e">
        <f t="shared" ref="D114:I114" si="46">SUM(D62:D110)*$B$114</f>
        <v>#REF!</v>
      </c>
      <c r="E114" s="169" t="e">
        <f t="shared" si="46"/>
        <v>#REF!</v>
      </c>
      <c r="F114" s="169" t="e">
        <f t="shared" si="46"/>
        <v>#REF!</v>
      </c>
      <c r="G114" s="169" t="e">
        <f t="shared" si="46"/>
        <v>#REF!</v>
      </c>
      <c r="H114" s="169" t="e">
        <f t="shared" si="46"/>
        <v>#REF!</v>
      </c>
      <c r="I114" s="169" t="e">
        <f t="shared" si="46"/>
        <v>#REF!</v>
      </c>
    </row>
    <row r="115" spans="1:23">
      <c r="A115" s="84" t="s">
        <v>173</v>
      </c>
      <c r="B115" s="191">
        <v>30</v>
      </c>
      <c r="C115" s="169" t="e">
        <f>SUM(C62:C110)*$B$115</f>
        <v>#REF!</v>
      </c>
      <c r="D115" s="169" t="e">
        <f t="shared" ref="D115:I115" si="47">SUM(D62:D110)*$B$115</f>
        <v>#REF!</v>
      </c>
      <c r="E115" s="169" t="e">
        <f t="shared" si="47"/>
        <v>#REF!</v>
      </c>
      <c r="F115" s="169" t="e">
        <f t="shared" si="47"/>
        <v>#REF!</v>
      </c>
      <c r="G115" s="169" t="e">
        <f t="shared" si="47"/>
        <v>#REF!</v>
      </c>
      <c r="H115" s="169" t="e">
        <f t="shared" si="47"/>
        <v>#REF!</v>
      </c>
      <c r="I115" s="169" t="e">
        <f t="shared" si="47"/>
        <v>#REF!</v>
      </c>
    </row>
    <row r="116" spans="1:23">
      <c r="A116" s="84" t="s">
        <v>175</v>
      </c>
      <c r="B116" s="191">
        <v>30</v>
      </c>
      <c r="C116" s="169" t="e">
        <f>SUM(C62:C110)*$B$116</f>
        <v>#REF!</v>
      </c>
      <c r="D116" s="169" t="e">
        <f t="shared" ref="D116:I116" si="48">SUM(D62:D110)*$B$116</f>
        <v>#REF!</v>
      </c>
      <c r="E116" s="169" t="e">
        <f t="shared" si="48"/>
        <v>#REF!</v>
      </c>
      <c r="F116" s="169" t="e">
        <f t="shared" si="48"/>
        <v>#REF!</v>
      </c>
      <c r="G116" s="169" t="e">
        <f t="shared" si="48"/>
        <v>#REF!</v>
      </c>
      <c r="H116" s="169" t="e">
        <f t="shared" si="48"/>
        <v>#REF!</v>
      </c>
      <c r="I116" s="169" t="e">
        <f t="shared" si="48"/>
        <v>#REF!</v>
      </c>
    </row>
    <row r="117" spans="1:23">
      <c r="A117" s="86" t="s">
        <v>174</v>
      </c>
      <c r="B117" s="191"/>
      <c r="C117" s="84"/>
      <c r="D117" s="84"/>
      <c r="E117" s="84"/>
      <c r="F117" s="84"/>
      <c r="G117" s="84"/>
      <c r="H117" s="84"/>
      <c r="I117" s="84"/>
    </row>
    <row r="118" spans="1:23">
      <c r="A118" s="84" t="s">
        <v>180</v>
      </c>
      <c r="B118" s="191">
        <v>0.2</v>
      </c>
      <c r="C118" s="169" t="e">
        <f>SUM(C62:C110)*$B$118</f>
        <v>#REF!</v>
      </c>
      <c r="D118" s="169" t="e">
        <f t="shared" ref="D118:I118" si="49">SUM(D62:D110)*$B$118</f>
        <v>#REF!</v>
      </c>
      <c r="E118" s="169" t="e">
        <f t="shared" si="49"/>
        <v>#REF!</v>
      </c>
      <c r="F118" s="169" t="e">
        <f t="shared" si="49"/>
        <v>#REF!</v>
      </c>
      <c r="G118" s="169" t="e">
        <f t="shared" si="49"/>
        <v>#REF!</v>
      </c>
      <c r="H118" s="169" t="e">
        <f t="shared" si="49"/>
        <v>#REF!</v>
      </c>
      <c r="I118" s="169" t="e">
        <f t="shared" si="49"/>
        <v>#REF!</v>
      </c>
    </row>
    <row r="119" spans="1:23">
      <c r="A119" s="84" t="s">
        <v>181</v>
      </c>
      <c r="B119" s="191">
        <v>0.5</v>
      </c>
      <c r="C119" s="169" t="e">
        <f>SUM(C62:C110)*$B$119</f>
        <v>#REF!</v>
      </c>
      <c r="D119" s="169" t="e">
        <f t="shared" ref="D119:I119" si="50">SUM(D62:D110)*$B$119</f>
        <v>#REF!</v>
      </c>
      <c r="E119" s="169" t="e">
        <f t="shared" si="50"/>
        <v>#REF!</v>
      </c>
      <c r="F119" s="169" t="e">
        <f t="shared" si="50"/>
        <v>#REF!</v>
      </c>
      <c r="G119" s="169" t="e">
        <f t="shared" si="50"/>
        <v>#REF!</v>
      </c>
      <c r="H119" s="169" t="e">
        <f t="shared" si="50"/>
        <v>#REF!</v>
      </c>
      <c r="I119" s="169" t="e">
        <f t="shared" si="50"/>
        <v>#REF!</v>
      </c>
    </row>
    <row r="122" spans="1:23" ht="18.75">
      <c r="A122" s="703" t="s">
        <v>532</v>
      </c>
      <c r="B122" s="703"/>
      <c r="C122" s="703"/>
      <c r="D122" s="703"/>
      <c r="E122" s="703"/>
      <c r="F122" s="703"/>
      <c r="G122" s="703"/>
      <c r="H122" s="703"/>
      <c r="I122" s="703"/>
      <c r="J122" s="703"/>
    </row>
    <row r="123" spans="1:23">
      <c r="A123" s="29"/>
      <c r="B123" s="52"/>
      <c r="C123" s="29"/>
      <c r="D123" s="29"/>
      <c r="E123" s="29"/>
      <c r="F123" s="29"/>
      <c r="G123" s="29"/>
      <c r="H123" s="29"/>
    </row>
    <row r="124" spans="1:23">
      <c r="A124" s="155"/>
      <c r="B124" s="155"/>
      <c r="C124" s="155"/>
      <c r="D124" s="156">
        <v>1</v>
      </c>
      <c r="E124" s="157">
        <f>(D124*5%)+D124</f>
        <v>1.05</v>
      </c>
      <c r="F124" s="157">
        <f t="shared" ref="F124:J124" si="51">(E124*5%)+E124</f>
        <v>1.1025</v>
      </c>
      <c r="G124" s="157">
        <f t="shared" si="51"/>
        <v>1.1576250000000001</v>
      </c>
      <c r="H124" s="157">
        <f t="shared" si="51"/>
        <v>1.2155062500000002</v>
      </c>
      <c r="I124" s="157">
        <f t="shared" si="51"/>
        <v>1.2762815625000004</v>
      </c>
      <c r="J124" s="157">
        <f t="shared" si="51"/>
        <v>1.3400956406250004</v>
      </c>
      <c r="K124" s="79"/>
      <c r="U124" s="79"/>
      <c r="V124" s="79"/>
      <c r="W124" s="79"/>
    </row>
    <row r="125" spans="1:23">
      <c r="A125" s="79"/>
      <c r="B125" s="79"/>
      <c r="C125" s="79"/>
      <c r="D125" s="79"/>
      <c r="E125" s="79"/>
      <c r="F125" s="79"/>
      <c r="G125" s="79"/>
      <c r="H125" s="79"/>
      <c r="I125" s="79"/>
      <c r="J125" s="79"/>
      <c r="K125" s="79"/>
      <c r="U125" s="79"/>
      <c r="V125" s="79"/>
      <c r="W125" s="79"/>
    </row>
    <row r="126" spans="1:23">
      <c r="A126" s="123" t="s">
        <v>0</v>
      </c>
      <c r="B126" s="123" t="s">
        <v>128</v>
      </c>
      <c r="C126" s="123" t="s">
        <v>148</v>
      </c>
      <c r="D126" s="103" t="s">
        <v>2</v>
      </c>
      <c r="E126" s="103" t="s">
        <v>3</v>
      </c>
      <c r="F126" s="103" t="s">
        <v>4</v>
      </c>
      <c r="G126" s="103" t="s">
        <v>5</v>
      </c>
      <c r="H126" s="103" t="s">
        <v>6</v>
      </c>
      <c r="I126" s="103" t="s">
        <v>163</v>
      </c>
      <c r="J126" s="103" t="s">
        <v>162</v>
      </c>
      <c r="K126" s="79"/>
      <c r="U126" s="79"/>
      <c r="V126" s="79"/>
      <c r="W126" s="79"/>
    </row>
    <row r="127" spans="1:23">
      <c r="A127" s="82" t="s">
        <v>124</v>
      </c>
      <c r="B127" s="80"/>
      <c r="C127" s="80"/>
      <c r="D127" s="80"/>
      <c r="E127" s="80"/>
      <c r="F127" s="80"/>
      <c r="G127" s="80"/>
      <c r="H127" s="80"/>
      <c r="I127" s="80"/>
      <c r="J127" s="80"/>
      <c r="K127" s="79"/>
      <c r="U127" s="79"/>
      <c r="V127" s="79"/>
      <c r="W127" s="79"/>
    </row>
    <row r="128" spans="1:23">
      <c r="A128" s="80" t="s">
        <v>277</v>
      </c>
      <c r="B128" s="80"/>
      <c r="C128" s="80"/>
      <c r="D128" s="80"/>
      <c r="E128" s="80"/>
      <c r="F128" s="80"/>
      <c r="G128" s="80"/>
      <c r="H128" s="80"/>
      <c r="I128" s="80"/>
      <c r="J128" s="80"/>
      <c r="K128" s="79"/>
      <c r="U128" s="79"/>
      <c r="V128" s="79"/>
      <c r="W128" s="79"/>
    </row>
    <row r="129" spans="1:23">
      <c r="A129" s="82" t="str">
        <f t="shared" ref="A129:A160" si="52">A8</f>
        <v>Kharif Crops</v>
      </c>
      <c r="B129" s="80"/>
      <c r="C129" s="80"/>
      <c r="D129" s="80"/>
      <c r="E129" s="80"/>
      <c r="F129" s="80"/>
      <c r="G129" s="80"/>
      <c r="H129" s="80"/>
      <c r="I129" s="80"/>
      <c r="J129" s="80"/>
      <c r="K129" s="79"/>
      <c r="U129" s="79"/>
      <c r="V129" s="79"/>
      <c r="W129" s="79"/>
    </row>
    <row r="130" spans="1:23">
      <c r="A130" s="80">
        <f t="shared" si="52"/>
        <v>0</v>
      </c>
      <c r="B130" s="80"/>
      <c r="C130" s="191">
        <v>90</v>
      </c>
      <c r="D130" s="81">
        <f>(C62*(1-'5.Closing Stock &amp; W Capital'!$D$15))*$C$130*D$124</f>
        <v>0</v>
      </c>
      <c r="E130" s="81">
        <f>(D62*(1-'5.Closing Stock &amp; W Capital'!$D$15))*$C$130*E$124</f>
        <v>0</v>
      </c>
      <c r="F130" s="81">
        <f>(E62*(1-'5.Closing Stock &amp; W Capital'!$D$15))*$C$130*F$124</f>
        <v>0</v>
      </c>
      <c r="G130" s="81">
        <f>(F62*(1-'5.Closing Stock &amp; W Capital'!$D$15))*$C$130*G$124</f>
        <v>0</v>
      </c>
      <c r="H130" s="81">
        <f>(G62*(1-'5.Closing Stock &amp; W Capital'!$D$15))*$C$130*H$124</f>
        <v>0</v>
      </c>
      <c r="I130" s="81">
        <f>(H62*(1-'5.Closing Stock &amp; W Capital'!$D$15))*$C$130*I$124</f>
        <v>0</v>
      </c>
      <c r="J130" s="81">
        <f>(I62*(1-'5.Closing Stock &amp; W Capital'!$D$15))*$C$130*J$124</f>
        <v>0</v>
      </c>
      <c r="K130" s="79"/>
      <c r="U130" s="79"/>
      <c r="V130" s="79"/>
      <c r="W130" s="79"/>
    </row>
    <row r="131" spans="1:23">
      <c r="A131" s="80">
        <f t="shared" si="52"/>
        <v>0</v>
      </c>
      <c r="B131" s="80"/>
      <c r="C131" s="214">
        <v>80</v>
      </c>
      <c r="D131" s="81">
        <f>(C63*(1-'5.Closing Stock &amp; W Capital'!$D$15))*$C$131*D$124</f>
        <v>0</v>
      </c>
      <c r="E131" s="81">
        <f>((D63*(1-'5.Closing Stock &amp; W Capital'!$D$15))+(C63*'5.Closing Stock &amp; W Capital'!$D$15))*$C$131*E$124</f>
        <v>0</v>
      </c>
      <c r="F131" s="81">
        <f>((E63*(1-'5.Closing Stock &amp; W Capital'!$D$15))+(D63*'5.Closing Stock &amp; W Capital'!$D$15))*$C$131*F$124</f>
        <v>0</v>
      </c>
      <c r="G131" s="81">
        <f>((F63*(1-'5.Closing Stock &amp; W Capital'!$D$15))+(E63*'5.Closing Stock &amp; W Capital'!$D$15))*$C$131*G124</f>
        <v>0</v>
      </c>
      <c r="H131" s="81">
        <f>((G63*(1-'5.Closing Stock &amp; W Capital'!$D$15))+(F63*'5.Closing Stock &amp; W Capital'!$D$15))*$C$131*H124</f>
        <v>0</v>
      </c>
      <c r="I131" s="81">
        <f>((H63*(1-'5.Closing Stock &amp; W Capital'!$D$15))+(G63*'5.Closing Stock &amp; W Capital'!$D$15))*$C$131*I124</f>
        <v>0</v>
      </c>
      <c r="J131" s="81">
        <f>((I63*(1-'5.Closing Stock &amp; W Capital'!$D$15))+(H63*'5.Closing Stock &amp; W Capital'!$D$15))*$C$131*J124</f>
        <v>0</v>
      </c>
      <c r="K131" s="79"/>
      <c r="U131" s="144"/>
      <c r="V131" s="79"/>
      <c r="W131" s="79"/>
    </row>
    <row r="132" spans="1:23">
      <c r="A132" s="80">
        <f t="shared" si="52"/>
        <v>0</v>
      </c>
      <c r="B132" s="80"/>
      <c r="C132" s="214">
        <v>65</v>
      </c>
      <c r="D132" s="81">
        <f>(C64*(1-'5.Closing Stock &amp; W Capital'!$D$15))*$C$132*D$124</f>
        <v>0</v>
      </c>
      <c r="E132" s="81">
        <f>((D64*(1-'5.Closing Stock &amp; W Capital'!$D$15))+(C64*'5.Closing Stock &amp; W Capital'!$D$15))*$C$132*E$124</f>
        <v>0</v>
      </c>
      <c r="F132" s="81">
        <f>((E64*(1-'5.Closing Stock &amp; W Capital'!$D$15))+(D64*'5.Closing Stock &amp; W Capital'!$D$15))*$C$132*F$124</f>
        <v>0</v>
      </c>
      <c r="G132" s="81">
        <f>((F64*(1-'5.Closing Stock &amp; W Capital'!$D$15))+(E64*'5.Closing Stock &amp; W Capital'!$D$15))*$C$132*G124</f>
        <v>0</v>
      </c>
      <c r="H132" s="81">
        <f>((G64*(1-'5.Closing Stock &amp; W Capital'!$D$15))+(F64*'5.Closing Stock &amp; W Capital'!$D$15))*$C$132*H124</f>
        <v>0</v>
      </c>
      <c r="I132" s="81">
        <f>((H64*(1-'5.Closing Stock &amp; W Capital'!$D$15))+(G64*'5.Closing Stock &amp; W Capital'!$D$15))*$C$132*I124</f>
        <v>0</v>
      </c>
      <c r="J132" s="81">
        <f>((I64*(1-'5.Closing Stock &amp; W Capital'!$D$15))+(H64*'5.Closing Stock &amp; W Capital'!$D$15))*$C$132*J124</f>
        <v>0</v>
      </c>
      <c r="K132" s="79"/>
      <c r="U132" s="79"/>
      <c r="V132" s="79"/>
      <c r="W132" s="79"/>
    </row>
    <row r="133" spans="1:23">
      <c r="A133" s="80">
        <f t="shared" si="52"/>
        <v>0</v>
      </c>
      <c r="B133" s="80"/>
      <c r="C133" s="214">
        <v>85</v>
      </c>
      <c r="D133" s="81">
        <f>(C65*(1-'5.Closing Stock &amp; W Capital'!$D$15))*$C$133*D$124</f>
        <v>0</v>
      </c>
      <c r="E133" s="81">
        <f>((D65*(1-'5.Closing Stock &amp; W Capital'!$D$15))+(C65*'5.Closing Stock &amp; W Capital'!$D$15))*$C$133*E$124</f>
        <v>0</v>
      </c>
      <c r="F133" s="81">
        <f>((E65*(1-'5.Closing Stock &amp; W Capital'!$D$15))+(D65*'5.Closing Stock &amp; W Capital'!$D$15))*$C$133*F$124</f>
        <v>0</v>
      </c>
      <c r="G133" s="81">
        <f>((F65*(1-'5.Closing Stock &amp; W Capital'!$D$15))+(E65*'5.Closing Stock &amp; W Capital'!$D$15))*$C$133*G$124</f>
        <v>0</v>
      </c>
      <c r="H133" s="81">
        <f>((G65*(1-'5.Closing Stock &amp; W Capital'!$D$15))+(F65*'5.Closing Stock &amp; W Capital'!$D$15))*$C$133*H$124</f>
        <v>0</v>
      </c>
      <c r="I133" s="81">
        <f>((H65*(1-'5.Closing Stock &amp; W Capital'!$D$15))+(G65*'5.Closing Stock &amp; W Capital'!$D$15))*$C$133*I$124</f>
        <v>0</v>
      </c>
      <c r="J133" s="81">
        <f>((I65*(1-'5.Closing Stock &amp; W Capital'!$D$15))+(H65*'5.Closing Stock &amp; W Capital'!$D$15))*$C$133*J$124</f>
        <v>0</v>
      </c>
      <c r="K133" s="79"/>
      <c r="U133" s="79"/>
      <c r="V133" s="79"/>
      <c r="W133" s="79"/>
    </row>
    <row r="134" spans="1:23">
      <c r="A134" s="80">
        <f t="shared" si="52"/>
        <v>0</v>
      </c>
      <c r="B134" s="80"/>
      <c r="C134" s="214">
        <v>37</v>
      </c>
      <c r="D134" s="81">
        <f>(C66*(1-'5.Closing Stock &amp; W Capital'!$D$15))*$C$134*D$124</f>
        <v>0</v>
      </c>
      <c r="E134" s="81">
        <f>((D66*(1-'5.Closing Stock &amp; W Capital'!$D$15))+(C66*'5.Closing Stock &amp; W Capital'!$D$15))*$C$135*E$124</f>
        <v>0</v>
      </c>
      <c r="F134" s="81">
        <f>((E66*(1-'5.Closing Stock &amp; W Capital'!$D$15))+(D66*'5.Closing Stock &amp; W Capital'!$D$15))*$C$135*F$124</f>
        <v>0</v>
      </c>
      <c r="G134" s="81">
        <f>((F66*(1-'5.Closing Stock &amp; W Capital'!$D$15))+(E66*'5.Closing Stock &amp; W Capital'!$D$15))*$C$135*G$124</f>
        <v>0</v>
      </c>
      <c r="H134" s="81">
        <f>((G66*(1-'5.Closing Stock &amp; W Capital'!$D$15))+(F66*'5.Closing Stock &amp; W Capital'!$D$15))*$C$135*H$124</f>
        <v>0</v>
      </c>
      <c r="I134" s="81">
        <f>((H66*(1-'5.Closing Stock &amp; W Capital'!$D$15))+(G66*'5.Closing Stock &amp; W Capital'!$D$15))*$C$135*I$124</f>
        <v>0</v>
      </c>
      <c r="J134" s="81">
        <f>((I66*(1-'5.Closing Stock &amp; W Capital'!$D$15))+(H66*'5.Closing Stock &amp; W Capital'!$D$15))*$C$135*J$124</f>
        <v>0</v>
      </c>
      <c r="K134" s="79"/>
      <c r="U134" s="79"/>
      <c r="V134" s="79"/>
      <c r="W134" s="79"/>
    </row>
    <row r="135" spans="1:23">
      <c r="A135" s="80">
        <f t="shared" si="52"/>
        <v>0</v>
      </c>
      <c r="B135" s="80"/>
      <c r="C135" s="214">
        <v>75</v>
      </c>
      <c r="D135" s="81">
        <f>(C67*(1-'5.Closing Stock &amp; W Capital'!$D$15))*$C$135*D$124</f>
        <v>0</v>
      </c>
      <c r="E135" s="81">
        <f>((D67*(1-'5.Closing Stock &amp; W Capital'!$D$15))+(C67*'5.Closing Stock &amp; W Capital'!$D$15))*$C$135*E$124</f>
        <v>0</v>
      </c>
      <c r="F135" s="81">
        <f>((E67*(1-'5.Closing Stock &amp; W Capital'!$D$15))+(D67*'5.Closing Stock &amp; W Capital'!$D$15))*$C$135*F$124</f>
        <v>0</v>
      </c>
      <c r="G135" s="81">
        <f>((F67*(1-'5.Closing Stock &amp; W Capital'!$D$15))+(E67*'5.Closing Stock &amp; W Capital'!$D$15))*$C$135*G$124</f>
        <v>0</v>
      </c>
      <c r="H135" s="81">
        <f>((G67*(1-'5.Closing Stock &amp; W Capital'!$D$15))+(F67*'5.Closing Stock &amp; W Capital'!$D$15))*$C$135*H$124</f>
        <v>0</v>
      </c>
      <c r="I135" s="81">
        <f>((H67*(1-'5.Closing Stock &amp; W Capital'!$D$15))+(G67*'5.Closing Stock &amp; W Capital'!$D$15))*$C$135*I$124</f>
        <v>0</v>
      </c>
      <c r="J135" s="81">
        <f>((I67*(1-'5.Closing Stock &amp; W Capital'!$D$15))+(H67*'5.Closing Stock &amp; W Capital'!$D$15))*$C$135*J$124</f>
        <v>0</v>
      </c>
      <c r="K135" s="79"/>
      <c r="U135" s="79"/>
      <c r="V135" s="79"/>
      <c r="W135" s="79"/>
    </row>
    <row r="136" spans="1:23">
      <c r="A136" s="80">
        <f t="shared" si="52"/>
        <v>0</v>
      </c>
      <c r="B136" s="80"/>
      <c r="C136" s="214">
        <v>30</v>
      </c>
      <c r="D136" s="81">
        <f>(C68*(1-'5.Closing Stock &amp; W Capital'!$D$15))*$C$136*D$124</f>
        <v>0</v>
      </c>
      <c r="E136" s="81">
        <f>((D68*(1-'5.Closing Stock &amp; W Capital'!$D$15))+(C68*'5.Closing Stock &amp; W Capital'!$D$15))*$C$136*E$124</f>
        <v>0</v>
      </c>
      <c r="F136" s="81">
        <f>((E68*(1-'5.Closing Stock &amp; W Capital'!$D$15))+(D68*'5.Closing Stock &amp; W Capital'!$D$15))*$C$136*F$124</f>
        <v>0</v>
      </c>
      <c r="G136" s="81">
        <f>((F68*(1-'5.Closing Stock &amp; W Capital'!$D$15))+(E68*'5.Closing Stock &amp; W Capital'!$D$15))*$C$136*G$124</f>
        <v>0</v>
      </c>
      <c r="H136" s="81">
        <f>((G68*(1-'5.Closing Stock &amp; W Capital'!$D$15))+(F68*'5.Closing Stock &amp; W Capital'!$D$15))*$C$136*H$124</f>
        <v>0</v>
      </c>
      <c r="I136" s="81">
        <f>((H68*(1-'5.Closing Stock &amp; W Capital'!$D$15))+(G68*'5.Closing Stock &amp; W Capital'!$D$15))*$C$136*I$124</f>
        <v>0</v>
      </c>
      <c r="J136" s="81">
        <f>((I68*(1-'5.Closing Stock &amp; W Capital'!$D$15))+(H68*'5.Closing Stock &amp; W Capital'!$D$15))*$C$136*J$124</f>
        <v>0</v>
      </c>
      <c r="K136" s="79"/>
      <c r="U136" s="79"/>
      <c r="V136" s="79"/>
      <c r="W136" s="79"/>
    </row>
    <row r="137" spans="1:23">
      <c r="A137" s="80">
        <f t="shared" si="52"/>
        <v>0</v>
      </c>
      <c r="B137" s="80"/>
      <c r="C137" s="214">
        <v>30</v>
      </c>
      <c r="D137" s="81">
        <f>(C69*(1-'5.Closing Stock &amp; W Capital'!$D$15))*$C$137*D$124</f>
        <v>0</v>
      </c>
      <c r="E137" s="81">
        <f>((D69*(1-'5.Closing Stock &amp; W Capital'!$D$15))+(C69*'5.Closing Stock &amp; W Capital'!$D$15))*$C$137*E$124</f>
        <v>0</v>
      </c>
      <c r="F137" s="81">
        <f>((E69*(1-'5.Closing Stock &amp; W Capital'!$D$15))+(D69*'5.Closing Stock &amp; W Capital'!$D$15))*$C$137*F$124</f>
        <v>0</v>
      </c>
      <c r="G137" s="81">
        <f>((F69*(1-'5.Closing Stock &amp; W Capital'!$D$15))+(E69*'5.Closing Stock &amp; W Capital'!$D$15))*$C$137*G$124</f>
        <v>0</v>
      </c>
      <c r="H137" s="81">
        <f>((G69*(1-'5.Closing Stock &amp; W Capital'!$D$15))+(F69*'5.Closing Stock &amp; W Capital'!$D$15))*$C$137*H$124</f>
        <v>0</v>
      </c>
      <c r="I137" s="81">
        <f>((H69*(1-'5.Closing Stock &amp; W Capital'!$D$15))+(G69*'5.Closing Stock &amp; W Capital'!$D$15))*$C$137*I$124</f>
        <v>0</v>
      </c>
      <c r="J137" s="81">
        <f>((I69*(1-'5.Closing Stock &amp; W Capital'!$D$15))+(H69*'5.Closing Stock &amp; W Capital'!$D$15))*$C$137*J$124</f>
        <v>0</v>
      </c>
      <c r="K137" s="79"/>
      <c r="U137" s="79"/>
      <c r="V137" s="79"/>
      <c r="W137" s="79"/>
    </row>
    <row r="138" spans="1:23">
      <c r="A138" s="82" t="str">
        <f t="shared" si="52"/>
        <v>Rabi Crop</v>
      </c>
      <c r="B138" s="80"/>
      <c r="C138" s="214"/>
      <c r="D138" s="81"/>
      <c r="E138" s="81"/>
      <c r="F138" s="81"/>
      <c r="G138" s="81"/>
      <c r="H138" s="81"/>
      <c r="I138" s="81"/>
      <c r="J138" s="81"/>
      <c r="K138" s="79"/>
      <c r="U138" s="79"/>
      <c r="V138" s="79"/>
      <c r="W138" s="79"/>
    </row>
    <row r="139" spans="1:23">
      <c r="A139" s="80">
        <f t="shared" si="52"/>
        <v>0</v>
      </c>
      <c r="B139" s="80"/>
      <c r="C139" s="214">
        <v>40</v>
      </c>
      <c r="D139" s="81">
        <f>(C71*(1-'5.Closing Stock &amp; W Capital'!$D$15))*$C$139*D$124</f>
        <v>0</v>
      </c>
      <c r="E139" s="81">
        <f>((D71*(1-'5.Closing Stock &amp; W Capital'!$D$15))+(C71*'5.Closing Stock &amp; W Capital'!$D$15))*$C$139*E$124</f>
        <v>0</v>
      </c>
      <c r="F139" s="81">
        <f>((E71*(1-'5.Closing Stock &amp; W Capital'!$D$15))+(D71*'5.Closing Stock &amp; W Capital'!$D$15))*$C$139*F$124</f>
        <v>0</v>
      </c>
      <c r="G139" s="81">
        <f>((F71*(1-'5.Closing Stock &amp; W Capital'!$D$15))+(E71*'5.Closing Stock &amp; W Capital'!$D$15))*$C$139*G$124</f>
        <v>0</v>
      </c>
      <c r="H139" s="81">
        <f>((G71*(1-'5.Closing Stock &amp; W Capital'!$D$15))+(F71*'5.Closing Stock &amp; W Capital'!$D$15))*$C$139*H$124</f>
        <v>0</v>
      </c>
      <c r="I139" s="81">
        <f>((H71*(1-'5.Closing Stock &amp; W Capital'!$D$15))+(G71*'5.Closing Stock &amp; W Capital'!$D$15))*$C$139*I$124</f>
        <v>0</v>
      </c>
      <c r="J139" s="81">
        <f>((I71*(1-'5.Closing Stock &amp; W Capital'!$D$15))+(H71*'5.Closing Stock &amp; W Capital'!$D$15))*$C$139*J$124</f>
        <v>0</v>
      </c>
      <c r="K139" s="79"/>
      <c r="U139" s="79"/>
      <c r="V139" s="79"/>
      <c r="W139" s="79"/>
    </row>
    <row r="140" spans="1:23">
      <c r="A140" s="80">
        <f t="shared" si="52"/>
        <v>0</v>
      </c>
      <c r="B140" s="80"/>
      <c r="C140" s="214">
        <v>75</v>
      </c>
      <c r="D140" s="81">
        <f>(C72*(1-'5.Closing Stock &amp; W Capital'!$D$15))*$C$140*D$124</f>
        <v>0</v>
      </c>
      <c r="E140" s="81">
        <f>((D72*(1-'5.Closing Stock &amp; W Capital'!$D$15))+(C72*'5.Closing Stock &amp; W Capital'!$D$15))*$C$140*E$124</f>
        <v>0</v>
      </c>
      <c r="F140" s="81">
        <f>((E72*(1-'5.Closing Stock &amp; W Capital'!$D$15))+(D72*'5.Closing Stock &amp; W Capital'!$D$15))*$C$140*F$124</f>
        <v>0</v>
      </c>
      <c r="G140" s="81">
        <f>((F72*(1-'5.Closing Stock &amp; W Capital'!$D$15))+(E72*'5.Closing Stock &amp; W Capital'!$D$15))*$C$140*G$124</f>
        <v>0</v>
      </c>
      <c r="H140" s="81">
        <f>((G72*(1-'5.Closing Stock &amp; W Capital'!$D$15))+(F72*'5.Closing Stock &amp; W Capital'!$D$15))*$C$140*H$124</f>
        <v>0</v>
      </c>
      <c r="I140" s="81">
        <f>((H72*(1-'5.Closing Stock &amp; W Capital'!$D$15))+(G72*'5.Closing Stock &amp; W Capital'!$D$15))*$C$140*I$124</f>
        <v>0</v>
      </c>
      <c r="J140" s="81">
        <f>((I72*(1-'5.Closing Stock &amp; W Capital'!$D$15))+(H72*'5.Closing Stock &amp; W Capital'!$D$15))*$C$140*J$124</f>
        <v>0</v>
      </c>
      <c r="K140" s="79"/>
      <c r="U140" s="79"/>
      <c r="V140" s="79"/>
      <c r="W140" s="79"/>
    </row>
    <row r="141" spans="1:23">
      <c r="A141" s="80">
        <f t="shared" si="52"/>
        <v>0</v>
      </c>
      <c r="B141" s="80"/>
      <c r="C141" s="214">
        <v>27</v>
      </c>
      <c r="D141" s="81">
        <f>(C73*(1-'5.Closing Stock &amp; W Capital'!$D$15))*$C$141*D$124</f>
        <v>0</v>
      </c>
      <c r="E141" s="81">
        <f>((D73*(1-'5.Closing Stock &amp; W Capital'!$D$15))+(C73*'5.Closing Stock &amp; W Capital'!$D$15))*$C$141*E$124</f>
        <v>0</v>
      </c>
      <c r="F141" s="81">
        <f>((E73*(1-'5.Closing Stock &amp; W Capital'!$D$15))+(D73*'5.Closing Stock &amp; W Capital'!$D$15))*$C$141*F$124</f>
        <v>0</v>
      </c>
      <c r="G141" s="81">
        <f>((F73*(1-'5.Closing Stock &amp; W Capital'!$D$15))+(E73*'5.Closing Stock &amp; W Capital'!$D$15))*$C$141*G$124</f>
        <v>0</v>
      </c>
      <c r="H141" s="81">
        <f>((G73*(1-'5.Closing Stock &amp; W Capital'!$D$15))+(F73*'5.Closing Stock &amp; W Capital'!$D$15))*$C$141*H$124</f>
        <v>0</v>
      </c>
      <c r="I141" s="81">
        <f>((H73*(1-'5.Closing Stock &amp; W Capital'!$D$15))+(G73*'5.Closing Stock &amp; W Capital'!$D$15))*$C$141*I$124</f>
        <v>0</v>
      </c>
      <c r="J141" s="81">
        <f>((I73*(1-'5.Closing Stock &amp; W Capital'!$D$15))+(H73*'5.Closing Stock &amp; W Capital'!$D$15))*$C$141*J$124</f>
        <v>0</v>
      </c>
      <c r="K141" s="79"/>
      <c r="U141" s="79"/>
      <c r="V141" s="79"/>
      <c r="W141" s="79"/>
    </row>
    <row r="142" spans="1:23">
      <c r="A142" s="80">
        <f t="shared" si="52"/>
        <v>0</v>
      </c>
      <c r="B142" s="80"/>
      <c r="C142" s="214">
        <v>27</v>
      </c>
      <c r="D142" s="81">
        <f>(C74*(1-'5.Closing Stock &amp; W Capital'!$D$15))*$C$142*D$124</f>
        <v>0</v>
      </c>
      <c r="E142" s="81">
        <f>((D74*(1-'5.Closing Stock &amp; W Capital'!$D$15))+(C74*'5.Closing Stock &amp; W Capital'!$D$15))*$C$142*E$124</f>
        <v>0</v>
      </c>
      <c r="F142" s="81">
        <f>((E74*(1-'5.Closing Stock &amp; W Capital'!$D$15))+(D74*'5.Closing Stock &amp; W Capital'!$D$15))*$C$142*F$124</f>
        <v>0</v>
      </c>
      <c r="G142" s="81">
        <f>((F74*(1-'5.Closing Stock &amp; W Capital'!$D$15))+(E74*'5.Closing Stock &amp; W Capital'!$D$15))*$C$142*G$124</f>
        <v>0</v>
      </c>
      <c r="H142" s="81">
        <f>((G74*(1-'5.Closing Stock &amp; W Capital'!$D$15))+(F74*'5.Closing Stock &amp; W Capital'!$D$15))*$C$142*H$124</f>
        <v>0</v>
      </c>
      <c r="I142" s="81">
        <f>((H74*(1-'5.Closing Stock &amp; W Capital'!$D$15))+(G74*'5.Closing Stock &amp; W Capital'!$D$15))*$C$142*I$124</f>
        <v>0</v>
      </c>
      <c r="J142" s="81">
        <f>((I74*(1-'5.Closing Stock &amp; W Capital'!$D$15))+(H74*'5.Closing Stock &amp; W Capital'!$D$15))*$C$142*J$124</f>
        <v>0</v>
      </c>
      <c r="K142" s="79"/>
      <c r="U142" s="79"/>
      <c r="V142" s="79"/>
      <c r="W142" s="79"/>
    </row>
    <row r="143" spans="1:23">
      <c r="A143" s="80">
        <f t="shared" si="52"/>
        <v>0</v>
      </c>
      <c r="B143" s="80"/>
      <c r="C143" s="214"/>
      <c r="D143" s="81">
        <f>(C75*(1-'5.Closing Stock &amp; W Capital'!$D$15))*$C$143*D$124</f>
        <v>0</v>
      </c>
      <c r="E143" s="81">
        <f>((D75*(1-'5.Closing Stock &amp; W Capital'!$D$15))+(C75*'5.Closing Stock &amp; W Capital'!$D$15))*$C$143*E$124</f>
        <v>0</v>
      </c>
      <c r="F143" s="81">
        <f>((E75*(1-'5.Closing Stock &amp; W Capital'!$D$15))+(D75*'5.Closing Stock &amp; W Capital'!$D$15))*$C$143*F$124</f>
        <v>0</v>
      </c>
      <c r="G143" s="81">
        <f>((F75*(1-'5.Closing Stock &amp; W Capital'!$D$15))+(E75*'5.Closing Stock &amp; W Capital'!$D$15))*$C$143*G$124</f>
        <v>0</v>
      </c>
      <c r="H143" s="81">
        <f>((G75*(1-'5.Closing Stock &amp; W Capital'!$D$15))+(F75*'5.Closing Stock &amp; W Capital'!$D$15))*$C$143*H$124</f>
        <v>0</v>
      </c>
      <c r="I143" s="81">
        <f>((H75*(1-'5.Closing Stock &amp; W Capital'!$D$15))+(G75*'5.Closing Stock &amp; W Capital'!$D$15))*$C$143*I$124</f>
        <v>0</v>
      </c>
      <c r="J143" s="81">
        <f>((I75*(1-'5.Closing Stock &amp; W Capital'!$D$15))+(H75*'5.Closing Stock &amp; W Capital'!$D$15))*$C$143*J$124</f>
        <v>0</v>
      </c>
      <c r="K143" s="79"/>
      <c r="U143" s="79"/>
      <c r="V143" s="79"/>
      <c r="W143" s="79"/>
    </row>
    <row r="144" spans="1:23">
      <c r="A144" s="80">
        <f t="shared" si="52"/>
        <v>0</v>
      </c>
      <c r="B144" s="80"/>
      <c r="C144" s="214"/>
      <c r="D144" s="81">
        <f>(C76*(1-'5.Closing Stock &amp; W Capital'!$D$15))*$C$144*D$124</f>
        <v>0</v>
      </c>
      <c r="E144" s="81">
        <f>((D76*(1-'5.Closing Stock &amp; W Capital'!$D$15))+(C76*'5.Closing Stock &amp; W Capital'!$D$15))*$C$144*E$124</f>
        <v>0</v>
      </c>
      <c r="F144" s="81">
        <f>((E76*(1-'5.Closing Stock &amp; W Capital'!$D$15))+(D76*'5.Closing Stock &amp; W Capital'!$D$15))*$C$144*F$124</f>
        <v>0</v>
      </c>
      <c r="G144" s="81">
        <f>((F76*(1-'5.Closing Stock &amp; W Capital'!$D$15))+(E76*'5.Closing Stock &amp; W Capital'!$D$15))*$C$144*G$124</f>
        <v>0</v>
      </c>
      <c r="H144" s="81">
        <f>((G76*(1-'5.Closing Stock &amp; W Capital'!$D$15))+(F76*'5.Closing Stock &amp; W Capital'!$D$15))*$C$144*H$124</f>
        <v>0</v>
      </c>
      <c r="I144" s="81">
        <f>((H76*(1-'5.Closing Stock &amp; W Capital'!$D$15))+(G76*'5.Closing Stock &amp; W Capital'!$D$15))*$C$144*I$124</f>
        <v>0</v>
      </c>
      <c r="J144" s="81">
        <f>((I76*(1-'5.Closing Stock &amp; W Capital'!$D$15))+(H76*'5.Closing Stock &amp; W Capital'!$D$15))*$C$144*J$124</f>
        <v>0</v>
      </c>
      <c r="K144" s="79"/>
      <c r="U144" s="79"/>
      <c r="V144" s="79"/>
      <c r="W144" s="79"/>
    </row>
    <row r="145" spans="1:23">
      <c r="A145" s="80">
        <f t="shared" si="52"/>
        <v>0</v>
      </c>
      <c r="B145" s="80"/>
      <c r="C145" s="214"/>
      <c r="D145" s="81">
        <f>(C77*(1-'5.Closing Stock &amp; W Capital'!$D$15))*$C$145*D$124</f>
        <v>0</v>
      </c>
      <c r="E145" s="81">
        <f>((D77*(1-'5.Closing Stock &amp; W Capital'!$D$15))+(C77*'5.Closing Stock &amp; W Capital'!$D$15))*$C$145*E$124</f>
        <v>0</v>
      </c>
      <c r="F145" s="81">
        <f>((E77*(1-'5.Closing Stock &amp; W Capital'!$D$15))+(D77*'5.Closing Stock &amp; W Capital'!$D$15))*$C$145*F$124</f>
        <v>0</v>
      </c>
      <c r="G145" s="81">
        <f>((F77*(1-'5.Closing Stock &amp; W Capital'!$D$15))+(E77*'5.Closing Stock &amp; W Capital'!$D$15))*$C$145*G$124</f>
        <v>0</v>
      </c>
      <c r="H145" s="81">
        <f>((G77*(1-'5.Closing Stock &amp; W Capital'!$D$15))+(F77*'5.Closing Stock &amp; W Capital'!$D$15))*$C$145*H$124</f>
        <v>0</v>
      </c>
      <c r="I145" s="81">
        <f>((H77*(1-'5.Closing Stock &amp; W Capital'!$D$15))+(G77*'5.Closing Stock &amp; W Capital'!$D$15))*$C$145*I$124</f>
        <v>0</v>
      </c>
      <c r="J145" s="81">
        <f>((I77*(1-'5.Closing Stock &amp; W Capital'!$D$15))+(H77*'5.Closing Stock &amp; W Capital'!$D$15))*$C$145*J$124</f>
        <v>0</v>
      </c>
      <c r="K145" s="79"/>
      <c r="U145" s="79"/>
      <c r="V145" s="79"/>
      <c r="W145" s="79"/>
    </row>
    <row r="146" spans="1:23">
      <c r="A146" s="80">
        <f t="shared" si="52"/>
        <v>0</v>
      </c>
      <c r="B146" s="80"/>
      <c r="C146" s="214"/>
      <c r="D146" s="81">
        <f>(C78*(1-'5.Closing Stock &amp; W Capital'!$D$15))*$C$146*D$124</f>
        <v>0</v>
      </c>
      <c r="E146" s="81">
        <f>((D78*(1-'5.Closing Stock &amp; W Capital'!$D$15))+(C78*'5.Closing Stock &amp; W Capital'!$D$15))*$C$146*E$124</f>
        <v>0</v>
      </c>
      <c r="F146" s="81">
        <f>((E78*(1-'5.Closing Stock &amp; W Capital'!$D$15))+(D78*'5.Closing Stock &amp; W Capital'!$D$15))*$C$146*F$124</f>
        <v>0</v>
      </c>
      <c r="G146" s="81">
        <f>((F78*(1-'5.Closing Stock &amp; W Capital'!$D$15))+(E78*'5.Closing Stock &amp; W Capital'!$D$15))*$C$146*G$124</f>
        <v>0</v>
      </c>
      <c r="H146" s="81">
        <f>((G78*(1-'5.Closing Stock &amp; W Capital'!$D$15))+(F78*'5.Closing Stock &amp; W Capital'!$D$15))*$C$146*H$124</f>
        <v>0</v>
      </c>
      <c r="I146" s="81">
        <f>((H78*(1-'5.Closing Stock &amp; W Capital'!$D$15))+(G78*'5.Closing Stock &amp; W Capital'!$D$15))*$C$146*I$124</f>
        <v>0</v>
      </c>
      <c r="J146" s="81">
        <f>((I78*(1-'5.Closing Stock &amp; W Capital'!$D$15))+(H78*'5.Closing Stock &amp; W Capital'!$D$15))*$C$146*J$124</f>
        <v>0</v>
      </c>
      <c r="K146" s="79"/>
      <c r="U146" s="79"/>
      <c r="V146" s="79"/>
      <c r="W146" s="79"/>
    </row>
    <row r="147" spans="1:23">
      <c r="A147" s="82">
        <f t="shared" si="52"/>
        <v>0</v>
      </c>
      <c r="B147" s="80"/>
      <c r="C147" s="214"/>
      <c r="D147" s="81"/>
      <c r="E147" s="81"/>
      <c r="F147" s="81"/>
      <c r="G147" s="81"/>
      <c r="H147" s="81"/>
      <c r="I147" s="81"/>
      <c r="J147" s="81"/>
      <c r="K147" s="79"/>
      <c r="U147" s="79"/>
      <c r="V147" s="79"/>
      <c r="W147" s="79"/>
    </row>
    <row r="148" spans="1:23">
      <c r="A148" s="80">
        <f t="shared" si="52"/>
        <v>0</v>
      </c>
      <c r="B148" s="80"/>
      <c r="C148" s="214"/>
      <c r="D148" s="81">
        <f>(C80*(1-'5.Closing Stock &amp; W Capital'!$D$15))*$C$148*D$124</f>
        <v>0</v>
      </c>
      <c r="E148" s="81">
        <f>((D80*(1-'5.Closing Stock &amp; W Capital'!$D$15))+(C80*'5.Closing Stock &amp; W Capital'!$D$15))*$C$148*E$124</f>
        <v>0</v>
      </c>
      <c r="F148" s="81">
        <f>((E80*(1-'5.Closing Stock &amp; W Capital'!$D$15))+(D80*'5.Closing Stock &amp; W Capital'!$D$15))*$C$148*F$124</f>
        <v>0</v>
      </c>
      <c r="G148" s="81">
        <f>((F80*(1-'5.Closing Stock &amp; W Capital'!$D$15))+(E80*'5.Closing Stock &amp; W Capital'!$D$15))*$C$148*G$124</f>
        <v>0</v>
      </c>
      <c r="H148" s="81">
        <f>((G80*(1-'5.Closing Stock &amp; W Capital'!$D$15))+(F80*'5.Closing Stock &amp; W Capital'!$D$15))*$C$148*H$124</f>
        <v>0</v>
      </c>
      <c r="I148" s="81">
        <f>((H80*(1-'5.Closing Stock &amp; W Capital'!$D$15))+(G80*'5.Closing Stock &amp; W Capital'!$D$15))*$C$148*I$124</f>
        <v>0</v>
      </c>
      <c r="J148" s="81">
        <f>((I80*(1-'5.Closing Stock &amp; W Capital'!$D$15))+(H80*'5.Closing Stock &amp; W Capital'!$D$15))*$C$148*J$124</f>
        <v>0</v>
      </c>
      <c r="K148" s="79"/>
      <c r="U148" s="79"/>
      <c r="V148" s="79"/>
      <c r="W148" s="79"/>
    </row>
    <row r="149" spans="1:23">
      <c r="A149" s="80">
        <f t="shared" si="52"/>
        <v>0</v>
      </c>
      <c r="B149" s="80"/>
      <c r="C149" s="214"/>
      <c r="D149" s="81">
        <f>(C81*(1-'5.Closing Stock &amp; W Capital'!$D$15))*$C$149*D$124</f>
        <v>0</v>
      </c>
      <c r="E149" s="81">
        <f>((D81*(1-'5.Closing Stock &amp; W Capital'!$D$15))+(C81*'5.Closing Stock &amp; W Capital'!$D$15))*$C$149*E$124</f>
        <v>0</v>
      </c>
      <c r="F149" s="81">
        <f>((E81*(1-'5.Closing Stock &amp; W Capital'!$D$15))+(D81*'5.Closing Stock &amp; W Capital'!$D$15))*$C$149*F$124</f>
        <v>0</v>
      </c>
      <c r="G149" s="81">
        <f>((F81*(1-'5.Closing Stock &amp; W Capital'!$D$15))+(E81*'5.Closing Stock &amp; W Capital'!$D$15))*$C$149*G$124</f>
        <v>0</v>
      </c>
      <c r="H149" s="81">
        <f>((G81*(1-'5.Closing Stock &amp; W Capital'!$D$15))+(F81*'5.Closing Stock &amp; W Capital'!$D$15))*$C$149*H$124</f>
        <v>0</v>
      </c>
      <c r="I149" s="81">
        <f>((H81*(1-'5.Closing Stock &amp; W Capital'!$D$15))+(G81*'5.Closing Stock &amp; W Capital'!$D$15))*$C$149*I$124</f>
        <v>0</v>
      </c>
      <c r="J149" s="81">
        <f>((I81*(1-'5.Closing Stock &amp; W Capital'!$D$15))+(H81*'5.Closing Stock &amp; W Capital'!$D$15))*$C$149*J$124</f>
        <v>0</v>
      </c>
      <c r="K149" s="79"/>
      <c r="U149" s="79"/>
      <c r="V149" s="79"/>
      <c r="W149" s="79"/>
    </row>
    <row r="150" spans="1:23">
      <c r="A150" s="80">
        <f t="shared" si="52"/>
        <v>0</v>
      </c>
      <c r="B150" s="80"/>
      <c r="C150" s="214"/>
      <c r="D150" s="81">
        <f>(C82*(1-'5.Closing Stock &amp; W Capital'!$D$15))*$C$150*D$124</f>
        <v>0</v>
      </c>
      <c r="E150" s="81">
        <f>((D82*(1-'5.Closing Stock &amp; W Capital'!$D$15))+(C82*'5.Closing Stock &amp; W Capital'!$D$15))*$C$150*E$124</f>
        <v>0</v>
      </c>
      <c r="F150" s="81">
        <f>((E82*(1-'5.Closing Stock &amp; W Capital'!$D$15))+(D82*'5.Closing Stock &amp; W Capital'!$D$15))*$C$150*F$124</f>
        <v>0</v>
      </c>
      <c r="G150" s="81">
        <f>((F82*(1-'5.Closing Stock &amp; W Capital'!$D$15))+(E82*'5.Closing Stock &amp; W Capital'!$D$15))*$C$150*G$124</f>
        <v>0</v>
      </c>
      <c r="H150" s="81">
        <f>((G82*(1-'5.Closing Stock &amp; W Capital'!$D$15))+(F82*'5.Closing Stock &amp; W Capital'!$D$15))*$C$150*H$124</f>
        <v>0</v>
      </c>
      <c r="I150" s="81">
        <f>((H82*(1-'5.Closing Stock &amp; W Capital'!$D$15))+(G82*'5.Closing Stock &amp; W Capital'!$D$15))*$C$150*I$124</f>
        <v>0</v>
      </c>
      <c r="J150" s="81">
        <f>((I82*(1-'5.Closing Stock &amp; W Capital'!$D$15))+(H82*'5.Closing Stock &amp; W Capital'!$D$15))*$C$150*J$124</f>
        <v>0</v>
      </c>
      <c r="K150" s="79"/>
      <c r="U150" s="79"/>
      <c r="V150" s="79"/>
      <c r="W150" s="79"/>
    </row>
    <row r="151" spans="1:23">
      <c r="A151" s="80">
        <f t="shared" si="52"/>
        <v>0</v>
      </c>
      <c r="B151" s="80"/>
      <c r="C151" s="214"/>
      <c r="D151" s="81">
        <f>(C83*(1-'5.Closing Stock &amp; W Capital'!$D$15))*$C$151*D$124</f>
        <v>0</v>
      </c>
      <c r="E151" s="81">
        <f>((D83*(1-'5.Closing Stock &amp; W Capital'!$D$15))+(C83*'5.Closing Stock &amp; W Capital'!$D$15))*$C$151*E$124</f>
        <v>0</v>
      </c>
      <c r="F151" s="81">
        <f>((E83*(1-'5.Closing Stock &amp; W Capital'!$D$15))+(D83*'5.Closing Stock &amp; W Capital'!$D$15))*$C$151*F$124</f>
        <v>0</v>
      </c>
      <c r="G151" s="81">
        <f>((F83*(1-'5.Closing Stock &amp; W Capital'!$D$15))+(E83*'5.Closing Stock &amp; W Capital'!$D$15))*$C$151*G$124</f>
        <v>0</v>
      </c>
      <c r="H151" s="81">
        <f>((G83*(1-'5.Closing Stock &amp; W Capital'!$D$15))+(F83*'5.Closing Stock &amp; W Capital'!$D$15))*$C$151*H$124</f>
        <v>0</v>
      </c>
      <c r="I151" s="81">
        <f>((H83*(1-'5.Closing Stock &amp; W Capital'!$D$15))+(G83*'5.Closing Stock &amp; W Capital'!$D$15))*$C$151*I$124</f>
        <v>0</v>
      </c>
      <c r="J151" s="81">
        <f>((I83*(1-'5.Closing Stock &amp; W Capital'!$D$15))+(H83*'5.Closing Stock &amp; W Capital'!$D$15))*$C$151*J$124</f>
        <v>0</v>
      </c>
      <c r="K151" s="79"/>
      <c r="U151" s="79"/>
      <c r="V151" s="79"/>
      <c r="W151" s="79"/>
    </row>
    <row r="152" spans="1:23">
      <c r="A152" s="80">
        <f t="shared" si="52"/>
        <v>0</v>
      </c>
      <c r="B152" s="80"/>
      <c r="C152" s="214"/>
      <c r="D152" s="81">
        <f>(C84*(1-'5.Closing Stock &amp; W Capital'!$D$15))*$C$152*D$124</f>
        <v>0</v>
      </c>
      <c r="E152" s="81">
        <f>((D84*(1-'5.Closing Stock &amp; W Capital'!$D$15))+(C84*'5.Closing Stock &amp; W Capital'!$D$15))*$C$152*E$124</f>
        <v>0</v>
      </c>
      <c r="F152" s="81">
        <f>((E84*(1-'5.Closing Stock &amp; W Capital'!$D$15))+(D84*'5.Closing Stock &amp; W Capital'!$D$15))*$C$152*F$124</f>
        <v>0</v>
      </c>
      <c r="G152" s="81">
        <f>((F84*(1-'5.Closing Stock &amp; W Capital'!$D$15))+(E84*'5.Closing Stock &amp; W Capital'!$D$15))*$C$152*G$124</f>
        <v>0</v>
      </c>
      <c r="H152" s="81">
        <f>((G84*(1-'5.Closing Stock &amp; W Capital'!$D$15))+(F84*'5.Closing Stock &amp; W Capital'!$D$15))*$C$152*H$124</f>
        <v>0</v>
      </c>
      <c r="I152" s="81">
        <f>((H84*(1-'5.Closing Stock &amp; W Capital'!$D$15))+(G84*'5.Closing Stock &amp; W Capital'!$D$15))*$C$152*I$124</f>
        <v>0</v>
      </c>
      <c r="J152" s="81">
        <f>((I84*(1-'5.Closing Stock &amp; W Capital'!$D$15))+(H84*'5.Closing Stock &amp; W Capital'!$D$15))*$C$152*J$124</f>
        <v>0</v>
      </c>
      <c r="K152" s="79"/>
      <c r="U152" s="79"/>
      <c r="V152" s="79"/>
      <c r="W152" s="79"/>
    </row>
    <row r="153" spans="1:23">
      <c r="A153" s="80" t="str">
        <f t="shared" si="52"/>
        <v>Grains Crops and  Production Details</v>
      </c>
      <c r="B153" s="80"/>
      <c r="C153" s="214"/>
      <c r="D153" s="81"/>
      <c r="E153" s="81"/>
      <c r="F153" s="81"/>
      <c r="G153" s="81"/>
      <c r="H153" s="81"/>
      <c r="I153" s="81"/>
      <c r="J153" s="81"/>
      <c r="K153" s="79"/>
      <c r="U153" s="79"/>
      <c r="V153" s="79"/>
      <c r="W153" s="79"/>
    </row>
    <row r="154" spans="1:23">
      <c r="A154" s="80">
        <f t="shared" si="52"/>
        <v>0</v>
      </c>
      <c r="B154" s="80"/>
      <c r="C154" s="214"/>
      <c r="D154" s="81">
        <f>(C86*(1-'5.Closing Stock &amp; W Capital'!$D$15))*$C154*D$124</f>
        <v>0</v>
      </c>
      <c r="E154" s="81">
        <f>((D86*(1-'5.Closing Stock &amp; W Capital'!$D$15))+(C86*'5.Closing Stock &amp; W Capital'!$D$15))*$C154*E$124</f>
        <v>0</v>
      </c>
      <c r="F154" s="81">
        <f>((E86*(1-'5.Closing Stock &amp; W Capital'!$D$15))+(D86*'5.Closing Stock &amp; W Capital'!$D$15))*$C$152*F$124</f>
        <v>0</v>
      </c>
      <c r="G154" s="81">
        <f>((F86*(1-'5.Closing Stock &amp; W Capital'!$D$15))+(E86*'5.Closing Stock &amp; W Capital'!$D$15))*$C$152*G$124</f>
        <v>0</v>
      </c>
      <c r="H154" s="81">
        <f>((G86*(1-'5.Closing Stock &amp; W Capital'!$D$15))+(F86*'5.Closing Stock &amp; W Capital'!$D$15))*$C$152*H$124</f>
        <v>0</v>
      </c>
      <c r="I154" s="81">
        <f>((H86*(1-'5.Closing Stock &amp; W Capital'!$D$15))+(G86*'5.Closing Stock &amp; W Capital'!$D$15))*$C$152*I$124</f>
        <v>0</v>
      </c>
      <c r="J154" s="81">
        <f>((I86*(1-'5.Closing Stock &amp; W Capital'!$D$15))+(H86*'5.Closing Stock &amp; W Capital'!$D$15))*$C$152*J$124</f>
        <v>0</v>
      </c>
      <c r="K154" s="79"/>
      <c r="U154" s="79"/>
      <c r="V154" s="79"/>
      <c r="W154" s="79"/>
    </row>
    <row r="155" spans="1:23">
      <c r="A155" s="80" t="e">
        <f t="shared" si="52"/>
        <v>#REF!</v>
      </c>
      <c r="B155" s="80"/>
      <c r="C155" s="214"/>
      <c r="D155" s="81" t="e">
        <f>(C87*(1-'5.Closing Stock &amp; W Capital'!$D$15))*$C155*D$124</f>
        <v>#REF!</v>
      </c>
      <c r="E155" s="81" t="e">
        <f>((D87*(1-'5.Closing Stock &amp; W Capital'!$D$15))+(C87*'5.Closing Stock &amp; W Capital'!$D$15))*$C155*E$124</f>
        <v>#REF!</v>
      </c>
      <c r="F155" s="81" t="e">
        <f>((E87*(1-'5.Closing Stock &amp; W Capital'!$D$15))+(D87*'5.Closing Stock &amp; W Capital'!$D$15))*$C$152*F$124</f>
        <v>#REF!</v>
      </c>
      <c r="G155" s="81" t="e">
        <f>((F87*(1-'5.Closing Stock &amp; W Capital'!$D$15))+(E87*'5.Closing Stock &amp; W Capital'!$D$15))*$C$152*G$124</f>
        <v>#REF!</v>
      </c>
      <c r="H155" s="81" t="e">
        <f>((G87*(1-'5.Closing Stock &amp; W Capital'!$D$15))+(F87*'5.Closing Stock &amp; W Capital'!$D$15))*$C$152*H$124</f>
        <v>#REF!</v>
      </c>
      <c r="I155" s="81" t="e">
        <f>((H87*(1-'5.Closing Stock &amp; W Capital'!$D$15))+(G87*'5.Closing Stock &amp; W Capital'!$D$15))*$C$152*I$124</f>
        <v>#REF!</v>
      </c>
      <c r="J155" s="81" t="e">
        <f>((I87*(1-'5.Closing Stock &amp; W Capital'!$D$15))+(H87*'5.Closing Stock &amp; W Capital'!$D$15))*$C$152*J$124</f>
        <v>#REF!</v>
      </c>
      <c r="K155" s="79"/>
      <c r="U155" s="79"/>
      <c r="V155" s="79"/>
      <c r="W155" s="79"/>
    </row>
    <row r="156" spans="1:23">
      <c r="A156" s="80" t="e">
        <f t="shared" si="52"/>
        <v>#REF!</v>
      </c>
      <c r="B156" s="80"/>
      <c r="C156" s="214"/>
      <c r="D156" s="81" t="e">
        <f>(C88*(1-'5.Closing Stock &amp; W Capital'!$D$15))*$C156*D$124</f>
        <v>#REF!</v>
      </c>
      <c r="E156" s="81" t="e">
        <f>((D88*(1-'5.Closing Stock &amp; W Capital'!$D$15))+(C88*'5.Closing Stock &amp; W Capital'!$D$15))*$C156*E$124</f>
        <v>#REF!</v>
      </c>
      <c r="F156" s="81" t="e">
        <f>((E88*(1-'5.Closing Stock &amp; W Capital'!$D$15))+(D88*'5.Closing Stock &amp; W Capital'!$D$15))*$C$152*F$124</f>
        <v>#REF!</v>
      </c>
      <c r="G156" s="81" t="e">
        <f>((F88*(1-'5.Closing Stock &amp; W Capital'!$D$15))+(E88*'5.Closing Stock &amp; W Capital'!$D$15))*$C$152*G$124</f>
        <v>#REF!</v>
      </c>
      <c r="H156" s="81" t="e">
        <f>((G88*(1-'5.Closing Stock &amp; W Capital'!$D$15))+(F88*'5.Closing Stock &amp; W Capital'!$D$15))*$C$152*H$124</f>
        <v>#REF!</v>
      </c>
      <c r="I156" s="81" t="e">
        <f>((H88*(1-'5.Closing Stock &amp; W Capital'!$D$15))+(G88*'5.Closing Stock &amp; W Capital'!$D$15))*$C$152*I$124</f>
        <v>#REF!</v>
      </c>
      <c r="J156" s="81" t="e">
        <f>((I88*(1-'5.Closing Stock &amp; W Capital'!$D$15))+(H88*'5.Closing Stock &amp; W Capital'!$D$15))*$C$152*J$124</f>
        <v>#REF!</v>
      </c>
      <c r="K156" s="79"/>
      <c r="U156" s="79"/>
      <c r="V156" s="79"/>
      <c r="W156" s="79"/>
    </row>
    <row r="157" spans="1:23">
      <c r="A157" s="80" t="str">
        <f t="shared" si="52"/>
        <v xml:space="preserve">Safflower Seed </v>
      </c>
      <c r="B157" s="80"/>
      <c r="C157" s="214"/>
      <c r="D157" s="81">
        <f>(C89*(1-'5.Closing Stock &amp; W Capital'!$D$15))*$C157*D$124</f>
        <v>0</v>
      </c>
      <c r="E157" s="81">
        <f>((D89*(1-'5.Closing Stock &amp; W Capital'!$D$15))+(C89*'5.Closing Stock &amp; W Capital'!$D$15))*$C157*E$124</f>
        <v>0</v>
      </c>
      <c r="F157" s="81">
        <f>((E89*(1-'5.Closing Stock &amp; W Capital'!$D$15))+(D89*'5.Closing Stock &amp; W Capital'!$D$15))*$C$152*F$124</f>
        <v>0</v>
      </c>
      <c r="G157" s="81">
        <f>((F89*(1-'5.Closing Stock &amp; W Capital'!$D$15))+(E89*'5.Closing Stock &amp; W Capital'!$D$15))*$C$152*G$124</f>
        <v>0</v>
      </c>
      <c r="H157" s="81">
        <f>((G89*(1-'5.Closing Stock &amp; W Capital'!$D$15))+(F89*'5.Closing Stock &amp; W Capital'!$D$15))*$C$152*H$124</f>
        <v>0</v>
      </c>
      <c r="I157" s="81">
        <f>((H89*(1-'5.Closing Stock &amp; W Capital'!$D$15))+(G89*'5.Closing Stock &amp; W Capital'!$D$15))*$C$152*I$124</f>
        <v>0</v>
      </c>
      <c r="J157" s="81">
        <f>((I89*(1-'5.Closing Stock &amp; W Capital'!$D$15))+(H89*'5.Closing Stock &amp; W Capital'!$D$15))*$C$152*J$124</f>
        <v>0</v>
      </c>
      <c r="K157" s="79"/>
      <c r="U157" s="79"/>
      <c r="V157" s="79"/>
      <c r="W157" s="79"/>
    </row>
    <row r="158" spans="1:23">
      <c r="A158" s="80" t="e">
        <f t="shared" si="52"/>
        <v>#REF!</v>
      </c>
      <c r="B158" s="80"/>
      <c r="C158" s="214"/>
      <c r="D158" s="81" t="e">
        <f>(C90*(1-'5.Closing Stock &amp; W Capital'!$D$15))*$C158*D$124</f>
        <v>#REF!</v>
      </c>
      <c r="E158" s="81" t="e">
        <f>((D90*(1-'5.Closing Stock &amp; W Capital'!$D$15))+(C90*'5.Closing Stock &amp; W Capital'!$D$15))*$C158*E$124</f>
        <v>#REF!</v>
      </c>
      <c r="F158" s="81" t="e">
        <f>((E90*(1-'5.Closing Stock &amp; W Capital'!$D$15))+(D90*'5.Closing Stock &amp; W Capital'!$D$15))*$C$152*F$124</f>
        <v>#REF!</v>
      </c>
      <c r="G158" s="81" t="e">
        <f>((F90*(1-'5.Closing Stock &amp; W Capital'!$D$15))+(E90*'5.Closing Stock &amp; W Capital'!$D$15))*$C$152*G$124</f>
        <v>#REF!</v>
      </c>
      <c r="H158" s="81" t="e">
        <f>((G90*(1-'5.Closing Stock &amp; W Capital'!$D$15))+(F90*'5.Closing Stock &amp; W Capital'!$D$15))*$C$152*H$124</f>
        <v>#REF!</v>
      </c>
      <c r="I158" s="81" t="e">
        <f>((H90*(1-'5.Closing Stock &amp; W Capital'!$D$15))+(G90*'5.Closing Stock &amp; W Capital'!$D$15))*$C$152*I$124</f>
        <v>#REF!</v>
      </c>
      <c r="J158" s="81" t="e">
        <f>((I90*(1-'5.Closing Stock &amp; W Capital'!$D$15))+(H90*'5.Closing Stock &amp; W Capital'!$D$15))*$C$152*J$124</f>
        <v>#REF!</v>
      </c>
      <c r="K158" s="79"/>
      <c r="U158" s="79"/>
      <c r="V158" s="79"/>
      <c r="W158" s="79"/>
    </row>
    <row r="159" spans="1:23">
      <c r="A159" s="80" t="e">
        <f t="shared" si="52"/>
        <v>#REF!</v>
      </c>
      <c r="B159" s="80"/>
      <c r="C159" s="214"/>
      <c r="D159" s="81" t="e">
        <f>(C91*(1-'5.Closing Stock &amp; W Capital'!$D$15))*$C159*D$124</f>
        <v>#REF!</v>
      </c>
      <c r="E159" s="81" t="e">
        <f>((D91*(1-'5.Closing Stock &amp; W Capital'!$D$15))+(C91*'5.Closing Stock &amp; W Capital'!$D$15))*$C159*E$124</f>
        <v>#REF!</v>
      </c>
      <c r="F159" s="81" t="e">
        <f>((E91*(1-'5.Closing Stock &amp; W Capital'!$D$15))+(D91*'5.Closing Stock &amp; W Capital'!$D$15))*$C$152*F$124</f>
        <v>#REF!</v>
      </c>
      <c r="G159" s="81" t="e">
        <f>((F91*(1-'5.Closing Stock &amp; W Capital'!$D$15))+(E91*'5.Closing Stock &amp; W Capital'!$D$15))*$C$152*G$124</f>
        <v>#REF!</v>
      </c>
      <c r="H159" s="81" t="e">
        <f>((G91*(1-'5.Closing Stock &amp; W Capital'!$D$15))+(F91*'5.Closing Stock &amp; W Capital'!$D$15))*$C$152*H$124</f>
        <v>#REF!</v>
      </c>
      <c r="I159" s="81" t="e">
        <f>((H91*(1-'5.Closing Stock &amp; W Capital'!$D$15))+(G91*'5.Closing Stock &amp; W Capital'!$D$15))*$C$152*I$124</f>
        <v>#REF!</v>
      </c>
      <c r="J159" s="81" t="e">
        <f>((I91*(1-'5.Closing Stock &amp; W Capital'!$D$15))+(H91*'5.Closing Stock &amp; W Capital'!$D$15))*$C$152*J$124</f>
        <v>#REF!</v>
      </c>
      <c r="K159" s="79"/>
      <c r="U159" s="79"/>
      <c r="V159" s="79"/>
      <c r="W159" s="79"/>
    </row>
    <row r="160" spans="1:23">
      <c r="A160" s="80" t="e">
        <f t="shared" si="52"/>
        <v>#REF!</v>
      </c>
      <c r="B160" s="80"/>
      <c r="C160" s="214"/>
      <c r="D160" s="81" t="e">
        <f>(C92*(1-'5.Closing Stock &amp; W Capital'!$D$15))*$C160*D$124</f>
        <v>#REF!</v>
      </c>
      <c r="E160" s="81" t="e">
        <f>((D92*(1-'5.Closing Stock &amp; W Capital'!$D$15))+(C92*'5.Closing Stock &amp; W Capital'!$D$15))*$C160*E$124</f>
        <v>#REF!</v>
      </c>
      <c r="F160" s="81" t="e">
        <f>((E92*(1-'5.Closing Stock &amp; W Capital'!$D$15))+(D92*'5.Closing Stock &amp; W Capital'!$D$15))*$C$152*F$124</f>
        <v>#REF!</v>
      </c>
      <c r="G160" s="81" t="e">
        <f>((F92*(1-'5.Closing Stock &amp; W Capital'!$D$15))+(E92*'5.Closing Stock &amp; W Capital'!$D$15))*$C$152*G$124</f>
        <v>#REF!</v>
      </c>
      <c r="H160" s="81" t="e">
        <f>((G92*(1-'5.Closing Stock &amp; W Capital'!$D$15))+(F92*'5.Closing Stock &amp; W Capital'!$D$15))*$C$152*H$124</f>
        <v>#REF!</v>
      </c>
      <c r="I160" s="81" t="e">
        <f>((H92*(1-'5.Closing Stock &amp; W Capital'!$D$15))+(G92*'5.Closing Stock &amp; W Capital'!$D$15))*$C$152*I$124</f>
        <v>#REF!</v>
      </c>
      <c r="J160" s="81" t="e">
        <f>((I92*(1-'5.Closing Stock &amp; W Capital'!$D$15))+(H92*'5.Closing Stock &amp; W Capital'!$D$15))*$C$152*J$124</f>
        <v>#REF!</v>
      </c>
      <c r="K160" s="79"/>
      <c r="U160" s="79"/>
      <c r="V160" s="79"/>
      <c r="W160" s="79"/>
    </row>
    <row r="161" spans="1:23">
      <c r="A161" s="80" t="e">
        <f t="shared" ref="A161:A179" si="53">A40</f>
        <v>#REF!</v>
      </c>
      <c r="B161" s="80"/>
      <c r="C161" s="214"/>
      <c r="D161" s="81" t="e">
        <f>(C93*(1-'5.Closing Stock &amp; W Capital'!$D$15))*$C161*D$124</f>
        <v>#REF!</v>
      </c>
      <c r="E161" s="81" t="e">
        <f>((D93*(1-'5.Closing Stock &amp; W Capital'!$D$15))+(C93*'5.Closing Stock &amp; W Capital'!$D$15))*$C161*E$124</f>
        <v>#REF!</v>
      </c>
      <c r="F161" s="81" t="e">
        <f>((E93*(1-'5.Closing Stock &amp; W Capital'!$D$15))+(D93*'5.Closing Stock &amp; W Capital'!$D$15))*$C$152*F$124</f>
        <v>#REF!</v>
      </c>
      <c r="G161" s="81" t="e">
        <f>((F93*(1-'5.Closing Stock &amp; W Capital'!$D$15))+(E93*'5.Closing Stock &amp; W Capital'!$D$15))*$C$152*G$124</f>
        <v>#REF!</v>
      </c>
      <c r="H161" s="81" t="e">
        <f>((G93*(1-'5.Closing Stock &amp; W Capital'!$D$15))+(F93*'5.Closing Stock &amp; W Capital'!$D$15))*$C$152*H$124</f>
        <v>#REF!</v>
      </c>
      <c r="I161" s="81" t="e">
        <f>((H93*(1-'5.Closing Stock &amp; W Capital'!$D$15))+(G93*'5.Closing Stock &amp; W Capital'!$D$15))*$C$152*I$124</f>
        <v>#REF!</v>
      </c>
      <c r="J161" s="81" t="e">
        <f>((I93*(1-'5.Closing Stock &amp; W Capital'!$D$15))+(H93*'5.Closing Stock &amp; W Capital'!$D$15))*$C$152*J$124</f>
        <v>#REF!</v>
      </c>
      <c r="K161" s="79"/>
      <c r="U161" s="79"/>
      <c r="V161" s="79"/>
      <c r="W161" s="79"/>
    </row>
    <row r="162" spans="1:23">
      <c r="A162" s="80" t="e">
        <f t="shared" si="53"/>
        <v>#REF!</v>
      </c>
      <c r="B162" s="80"/>
      <c r="C162" s="214"/>
      <c r="D162" s="81" t="e">
        <f>(C94*(1-'5.Closing Stock &amp; W Capital'!$D$15))*$C162*D$124</f>
        <v>#REF!</v>
      </c>
      <c r="E162" s="81" t="e">
        <f>((D94*(1-'5.Closing Stock &amp; W Capital'!$D$15))+(C94*'5.Closing Stock &amp; W Capital'!$D$15))*$C162*E$124</f>
        <v>#REF!</v>
      </c>
      <c r="F162" s="81" t="e">
        <f>((E94*(1-'5.Closing Stock &amp; W Capital'!$D$15))+(D94*'5.Closing Stock &amp; W Capital'!$D$15))*$C$152*F$124</f>
        <v>#REF!</v>
      </c>
      <c r="G162" s="81" t="e">
        <f>((F94*(1-'5.Closing Stock &amp; W Capital'!$D$15))+(E94*'5.Closing Stock &amp; W Capital'!$D$15))*$C$152*G$124</f>
        <v>#REF!</v>
      </c>
      <c r="H162" s="81" t="e">
        <f>((G94*(1-'5.Closing Stock &amp; W Capital'!$D$15))+(F94*'5.Closing Stock &amp; W Capital'!$D$15))*$C$152*H$124</f>
        <v>#REF!</v>
      </c>
      <c r="I162" s="81" t="e">
        <f>((H94*(1-'5.Closing Stock &amp; W Capital'!$D$15))+(G94*'5.Closing Stock &amp; W Capital'!$D$15))*$C$152*I$124</f>
        <v>#REF!</v>
      </c>
      <c r="J162" s="81" t="e">
        <f>((I94*(1-'5.Closing Stock &amp; W Capital'!$D$15))+(H94*'5.Closing Stock &amp; W Capital'!$D$15))*$C$152*J$124</f>
        <v>#REF!</v>
      </c>
      <c r="K162" s="79"/>
      <c r="U162" s="79"/>
      <c r="V162" s="79"/>
      <c r="W162" s="79"/>
    </row>
    <row r="163" spans="1:23">
      <c r="A163" s="80" t="e">
        <f t="shared" si="53"/>
        <v>#REF!</v>
      </c>
      <c r="B163" s="80"/>
      <c r="C163" s="214"/>
      <c r="D163" s="81" t="e">
        <f>(C95*(1-'5.Closing Stock &amp; W Capital'!$D$15))*$C163*D$124</f>
        <v>#REF!</v>
      </c>
      <c r="E163" s="81" t="e">
        <f>((D95*(1-'5.Closing Stock &amp; W Capital'!$D$15))+(C95*'5.Closing Stock &amp; W Capital'!$D$15))*$C163*E$124</f>
        <v>#REF!</v>
      </c>
      <c r="F163" s="81" t="e">
        <f>((E95*(1-'5.Closing Stock &amp; W Capital'!$D$15))+(D95*'5.Closing Stock &amp; W Capital'!$D$15))*$C$152*F$124</f>
        <v>#REF!</v>
      </c>
      <c r="G163" s="81" t="e">
        <f>((F95*(1-'5.Closing Stock &amp; W Capital'!$D$15))+(E95*'5.Closing Stock &amp; W Capital'!$D$15))*$C$152*G$124</f>
        <v>#REF!</v>
      </c>
      <c r="H163" s="81" t="e">
        <f>((G95*(1-'5.Closing Stock &amp; W Capital'!$D$15))+(F95*'5.Closing Stock &amp; W Capital'!$D$15))*$C$152*H$124</f>
        <v>#REF!</v>
      </c>
      <c r="I163" s="81" t="e">
        <f>((H95*(1-'5.Closing Stock &amp; W Capital'!$D$15))+(G95*'5.Closing Stock &amp; W Capital'!$D$15))*$C$152*I$124</f>
        <v>#REF!</v>
      </c>
      <c r="J163" s="81" t="e">
        <f>((I95*(1-'5.Closing Stock &amp; W Capital'!$D$15))+(H95*'5.Closing Stock &amp; W Capital'!$D$15))*$C$152*J$124</f>
        <v>#REF!</v>
      </c>
      <c r="K163" s="79"/>
      <c r="U163" s="79"/>
      <c r="V163" s="79"/>
      <c r="W163" s="79"/>
    </row>
    <row r="164" spans="1:23">
      <c r="A164" s="80" t="e">
        <f t="shared" si="53"/>
        <v>#REF!</v>
      </c>
      <c r="B164" s="80"/>
      <c r="C164" s="214"/>
      <c r="D164" s="81" t="e">
        <f>(C96*(1-'5.Closing Stock &amp; W Capital'!$D$15))*$C164*D$124</f>
        <v>#REF!</v>
      </c>
      <c r="E164" s="81" t="e">
        <f>((D96*(1-'5.Closing Stock &amp; W Capital'!$D$15))+(C96*'5.Closing Stock &amp; W Capital'!$D$15))*$C164*E$124</f>
        <v>#REF!</v>
      </c>
      <c r="F164" s="81" t="e">
        <f>((E96*(1-'5.Closing Stock &amp; W Capital'!$D$15))+(D96*'5.Closing Stock &amp; W Capital'!$D$15))*$C$152*F$124</f>
        <v>#REF!</v>
      </c>
      <c r="G164" s="81" t="e">
        <f>((F96*(1-'5.Closing Stock &amp; W Capital'!$D$15))+(E96*'5.Closing Stock &amp; W Capital'!$D$15))*$C$152*G$124</f>
        <v>#REF!</v>
      </c>
      <c r="H164" s="81" t="e">
        <f>((G96*(1-'5.Closing Stock &amp; W Capital'!$D$15))+(F96*'5.Closing Stock &amp; W Capital'!$D$15))*$C$152*H$124</f>
        <v>#REF!</v>
      </c>
      <c r="I164" s="81" t="e">
        <f>((H96*(1-'5.Closing Stock &amp; W Capital'!$D$15))+(G96*'5.Closing Stock &amp; W Capital'!$D$15))*$C$152*I$124</f>
        <v>#REF!</v>
      </c>
      <c r="J164" s="81" t="e">
        <f>((I96*(1-'5.Closing Stock &amp; W Capital'!$D$15))+(H96*'5.Closing Stock &amp; W Capital'!$D$15))*$C$152*J$124</f>
        <v>#REF!</v>
      </c>
      <c r="K164" s="79"/>
      <c r="U164" s="79"/>
      <c r="V164" s="79"/>
      <c r="W164" s="79"/>
    </row>
    <row r="165" spans="1:23">
      <c r="A165" s="80" t="e">
        <f t="shared" si="53"/>
        <v>#REF!</v>
      </c>
      <c r="B165" s="80"/>
      <c r="C165" s="214"/>
      <c r="D165" s="81" t="e">
        <f>(C97*(1-'5.Closing Stock &amp; W Capital'!$D$15))*$C165*D$124</f>
        <v>#REF!</v>
      </c>
      <c r="E165" s="81" t="e">
        <f>((D97*(1-'5.Closing Stock &amp; W Capital'!$D$15))+(C97*'5.Closing Stock &amp; W Capital'!$D$15))*$C165*E$124</f>
        <v>#REF!</v>
      </c>
      <c r="F165" s="81" t="e">
        <f>((E97*(1-'5.Closing Stock &amp; W Capital'!$D$15))+(D97*'5.Closing Stock &amp; W Capital'!$D$15))*$C$152*F$124</f>
        <v>#REF!</v>
      </c>
      <c r="G165" s="81" t="e">
        <f>((F97*(1-'5.Closing Stock &amp; W Capital'!$D$15))+(E97*'5.Closing Stock &amp; W Capital'!$D$15))*$C$152*G$124</f>
        <v>#REF!</v>
      </c>
      <c r="H165" s="81" t="e">
        <f>((G97*(1-'5.Closing Stock &amp; W Capital'!$D$15))+(F97*'5.Closing Stock &amp; W Capital'!$D$15))*$C$152*H$124</f>
        <v>#REF!</v>
      </c>
      <c r="I165" s="81" t="e">
        <f>((H97*(1-'5.Closing Stock &amp; W Capital'!$D$15))+(G97*'5.Closing Stock &amp; W Capital'!$D$15))*$C$152*I$124</f>
        <v>#REF!</v>
      </c>
      <c r="J165" s="81" t="e">
        <f>((I97*(1-'5.Closing Stock &amp; W Capital'!$D$15))+(H97*'5.Closing Stock &amp; W Capital'!$D$15))*$C$152*J$124</f>
        <v>#REF!</v>
      </c>
      <c r="K165" s="79"/>
      <c r="U165" s="79"/>
      <c r="V165" s="79"/>
      <c r="W165" s="79"/>
    </row>
    <row r="166" spans="1:23">
      <c r="A166" s="80" t="e">
        <f t="shared" si="53"/>
        <v>#REF!</v>
      </c>
      <c r="B166" s="80"/>
      <c r="C166" s="214"/>
      <c r="D166" s="81" t="e">
        <f>(C98*(1-'5.Closing Stock &amp; W Capital'!$D$15))*$C166*D$124</f>
        <v>#REF!</v>
      </c>
      <c r="E166" s="81" t="e">
        <f>((D98*(1-'5.Closing Stock &amp; W Capital'!$D$15))+(C98*'5.Closing Stock &amp; W Capital'!$D$15))*$C166*E$124</f>
        <v>#REF!</v>
      </c>
      <c r="F166" s="81" t="e">
        <f>((E98*(1-'5.Closing Stock &amp; W Capital'!$D$15))+(D98*'5.Closing Stock &amp; W Capital'!$D$15))*$C$152*F$124</f>
        <v>#REF!</v>
      </c>
      <c r="G166" s="81" t="e">
        <f>((F98*(1-'5.Closing Stock &amp; W Capital'!$D$15))+(E98*'5.Closing Stock &amp; W Capital'!$D$15))*$C$152*G$124</f>
        <v>#REF!</v>
      </c>
      <c r="H166" s="81" t="e">
        <f>((G98*(1-'5.Closing Stock &amp; W Capital'!$D$15))+(F98*'5.Closing Stock &amp; W Capital'!$D$15))*$C$152*H$124</f>
        <v>#REF!</v>
      </c>
      <c r="I166" s="81" t="e">
        <f>((H98*(1-'5.Closing Stock &amp; W Capital'!$D$15))+(G98*'5.Closing Stock &amp; W Capital'!$D$15))*$C$152*I$124</f>
        <v>#REF!</v>
      </c>
      <c r="J166" s="81" t="e">
        <f>((I98*(1-'5.Closing Stock &amp; W Capital'!$D$15))+(H98*'5.Closing Stock &amp; W Capital'!$D$15))*$C$152*J$124</f>
        <v>#REF!</v>
      </c>
      <c r="K166" s="79"/>
      <c r="U166" s="79"/>
      <c r="V166" s="79"/>
      <c r="W166" s="79"/>
    </row>
    <row r="167" spans="1:23">
      <c r="A167" s="80" t="e">
        <f t="shared" si="53"/>
        <v>#REF!</v>
      </c>
      <c r="B167" s="80"/>
      <c r="C167" s="214"/>
      <c r="D167" s="81" t="e">
        <f>(C99*(1-'5.Closing Stock &amp; W Capital'!$D$15))*$C167*D$124</f>
        <v>#REF!</v>
      </c>
      <c r="E167" s="81" t="e">
        <f>((D99*(1-'5.Closing Stock &amp; W Capital'!$D$15))+(C99*'5.Closing Stock &amp; W Capital'!$D$15))*$C167*E$124</f>
        <v>#REF!</v>
      </c>
      <c r="F167" s="81" t="e">
        <f>((E99*(1-'5.Closing Stock &amp; W Capital'!$D$15))+(D99*'5.Closing Stock &amp; W Capital'!$D$15))*$C$152*F$124</f>
        <v>#REF!</v>
      </c>
      <c r="G167" s="81" t="e">
        <f>((F99*(1-'5.Closing Stock &amp; W Capital'!$D$15))+(E99*'5.Closing Stock &amp; W Capital'!$D$15))*$C$152*G$124</f>
        <v>#REF!</v>
      </c>
      <c r="H167" s="81" t="e">
        <f>((G99*(1-'5.Closing Stock &amp; W Capital'!$D$15))+(F99*'5.Closing Stock &amp; W Capital'!$D$15))*$C$152*H$124</f>
        <v>#REF!</v>
      </c>
      <c r="I167" s="81" t="e">
        <f>((H99*(1-'5.Closing Stock &amp; W Capital'!$D$15))+(G99*'5.Closing Stock &amp; W Capital'!$D$15))*$C$152*I$124</f>
        <v>#REF!</v>
      </c>
      <c r="J167" s="81" t="e">
        <f>((I99*(1-'5.Closing Stock &amp; W Capital'!$D$15))+(H99*'5.Closing Stock &amp; W Capital'!$D$15))*$C$152*J$124</f>
        <v>#REF!</v>
      </c>
      <c r="K167" s="79"/>
      <c r="U167" s="79"/>
      <c r="V167" s="79"/>
      <c r="W167" s="79"/>
    </row>
    <row r="168" spans="1:23">
      <c r="A168" s="80" t="e">
        <f t="shared" si="53"/>
        <v>#REF!</v>
      </c>
      <c r="B168" s="80"/>
      <c r="C168" s="214"/>
      <c r="D168" s="81" t="e">
        <f>(C100*(1-'5.Closing Stock &amp; W Capital'!$D$15))*$C168*D$124</f>
        <v>#REF!</v>
      </c>
      <c r="E168" s="81" t="e">
        <f>((D100*(1-'5.Closing Stock &amp; W Capital'!$D$15))+(C100*'5.Closing Stock &amp; W Capital'!$D$15))*$C168*E$124</f>
        <v>#REF!</v>
      </c>
      <c r="F168" s="81" t="e">
        <f>((E100*(1-'5.Closing Stock &amp; W Capital'!$D$15))+(D100*'5.Closing Stock &amp; W Capital'!$D$15))*$C$152*F$124</f>
        <v>#REF!</v>
      </c>
      <c r="G168" s="81" t="e">
        <f>((F100*(1-'5.Closing Stock &amp; W Capital'!$D$15))+(E100*'5.Closing Stock &amp; W Capital'!$D$15))*$C$152*G$124</f>
        <v>#REF!</v>
      </c>
      <c r="H168" s="81" t="e">
        <f>((G100*(1-'5.Closing Stock &amp; W Capital'!$D$15))+(F100*'5.Closing Stock &amp; W Capital'!$D$15))*$C$152*H$124</f>
        <v>#REF!</v>
      </c>
      <c r="I168" s="81" t="e">
        <f>((H100*(1-'5.Closing Stock &amp; W Capital'!$D$15))+(G100*'5.Closing Stock &amp; W Capital'!$D$15))*$C$152*I$124</f>
        <v>#REF!</v>
      </c>
      <c r="J168" s="81" t="e">
        <f>((I100*(1-'5.Closing Stock &amp; W Capital'!$D$15))+(H100*'5.Closing Stock &amp; W Capital'!$D$15))*$C$152*J$124</f>
        <v>#REF!</v>
      </c>
      <c r="K168" s="79"/>
      <c r="U168" s="79"/>
      <c r="V168" s="79"/>
      <c r="W168" s="79"/>
    </row>
    <row r="169" spans="1:23">
      <c r="A169" s="80" t="e">
        <f t="shared" si="53"/>
        <v>#REF!</v>
      </c>
      <c r="B169" s="80"/>
      <c r="C169" s="214"/>
      <c r="D169" s="81" t="e">
        <f>(C101*(1-'5.Closing Stock &amp; W Capital'!$D$15))*$C169*D$124</f>
        <v>#REF!</v>
      </c>
      <c r="E169" s="81" t="e">
        <f>((D101*(1-'5.Closing Stock &amp; W Capital'!$D$15))+(C101*'5.Closing Stock &amp; W Capital'!$D$15))*$C169*E$124</f>
        <v>#REF!</v>
      </c>
      <c r="F169" s="81" t="e">
        <f>((E101*(1-'5.Closing Stock &amp; W Capital'!$D$15))+(D101*'5.Closing Stock &amp; W Capital'!$D$15))*$C$152*F$124</f>
        <v>#REF!</v>
      </c>
      <c r="G169" s="81" t="e">
        <f>((F101*(1-'5.Closing Stock &amp; W Capital'!$D$15))+(E101*'5.Closing Stock &amp; W Capital'!$D$15))*$C$152*G$124</f>
        <v>#REF!</v>
      </c>
      <c r="H169" s="81" t="e">
        <f>((G101*(1-'5.Closing Stock &amp; W Capital'!$D$15))+(F101*'5.Closing Stock &amp; W Capital'!$D$15))*$C$152*H$124</f>
        <v>#REF!</v>
      </c>
      <c r="I169" s="81" t="e">
        <f>((H101*(1-'5.Closing Stock &amp; W Capital'!$D$15))+(G101*'5.Closing Stock &amp; W Capital'!$D$15))*$C$152*I$124</f>
        <v>#REF!</v>
      </c>
      <c r="J169" s="81" t="e">
        <f>((I101*(1-'5.Closing Stock &amp; W Capital'!$D$15))+(H101*'5.Closing Stock &amp; W Capital'!$D$15))*$C$152*J$124</f>
        <v>#REF!</v>
      </c>
      <c r="K169" s="79"/>
      <c r="U169" s="79"/>
      <c r="V169" s="79"/>
      <c r="W169" s="79"/>
    </row>
    <row r="170" spans="1:23">
      <c r="A170" s="80" t="e">
        <f t="shared" si="53"/>
        <v>#REF!</v>
      </c>
      <c r="B170" s="80"/>
      <c r="C170" s="214"/>
      <c r="D170" s="81" t="e">
        <f>(C102*(1-'5.Closing Stock &amp; W Capital'!$D$15))*$C170*D$124</f>
        <v>#REF!</v>
      </c>
      <c r="E170" s="81" t="e">
        <f>((D102*(1-'5.Closing Stock &amp; W Capital'!$D$15))+(C102*'5.Closing Stock &amp; W Capital'!$D$15))*$C170*E$124</f>
        <v>#REF!</v>
      </c>
      <c r="F170" s="81" t="e">
        <f>((E102*(1-'5.Closing Stock &amp; W Capital'!$D$15))+(D102*'5.Closing Stock &amp; W Capital'!$D$15))*$C$152*F$124</f>
        <v>#REF!</v>
      </c>
      <c r="G170" s="81" t="e">
        <f>((F102*(1-'5.Closing Stock &amp; W Capital'!$D$15))+(E102*'5.Closing Stock &amp; W Capital'!$D$15))*$C$152*G$124</f>
        <v>#REF!</v>
      </c>
      <c r="H170" s="81" t="e">
        <f>((G102*(1-'5.Closing Stock &amp; W Capital'!$D$15))+(F102*'5.Closing Stock &amp; W Capital'!$D$15))*$C$152*H$124</f>
        <v>#REF!</v>
      </c>
      <c r="I170" s="81" t="e">
        <f>((H102*(1-'5.Closing Stock &amp; W Capital'!$D$15))+(G102*'5.Closing Stock &amp; W Capital'!$D$15))*$C$152*I$124</f>
        <v>#REF!</v>
      </c>
      <c r="J170" s="81" t="e">
        <f>((I102*(1-'5.Closing Stock &amp; W Capital'!$D$15))+(H102*'5.Closing Stock &amp; W Capital'!$D$15))*$C$152*J$124</f>
        <v>#REF!</v>
      </c>
      <c r="K170" s="79"/>
      <c r="U170" s="79"/>
      <c r="V170" s="79"/>
      <c r="W170" s="79"/>
    </row>
    <row r="171" spans="1:23">
      <c r="A171" s="80" t="e">
        <f t="shared" si="53"/>
        <v>#REF!</v>
      </c>
      <c r="B171" s="80"/>
      <c r="C171" s="214"/>
      <c r="D171" s="81" t="e">
        <f>(C103*(1-'5.Closing Stock &amp; W Capital'!$D$15))*$C171*D$124</f>
        <v>#REF!</v>
      </c>
      <c r="E171" s="81" t="e">
        <f>((D103*(1-'5.Closing Stock &amp; W Capital'!$D$15))+(C103*'5.Closing Stock &amp; W Capital'!$D$15))*$C171*E$124</f>
        <v>#REF!</v>
      </c>
      <c r="F171" s="81" t="e">
        <f>((E103*(1-'5.Closing Stock &amp; W Capital'!$D$15))+(D103*'5.Closing Stock &amp; W Capital'!$D$15))*$C$152*F$124</f>
        <v>#REF!</v>
      </c>
      <c r="G171" s="81" t="e">
        <f>((F103*(1-'5.Closing Stock &amp; W Capital'!$D$15))+(E103*'5.Closing Stock &amp; W Capital'!$D$15))*$C$152*G$124</f>
        <v>#REF!</v>
      </c>
      <c r="H171" s="81" t="e">
        <f>((G103*(1-'5.Closing Stock &amp; W Capital'!$D$15))+(F103*'5.Closing Stock &amp; W Capital'!$D$15))*$C$152*H$124</f>
        <v>#REF!</v>
      </c>
      <c r="I171" s="81" t="e">
        <f>((H103*(1-'5.Closing Stock &amp; W Capital'!$D$15))+(G103*'5.Closing Stock &amp; W Capital'!$D$15))*$C$152*I$124</f>
        <v>#REF!</v>
      </c>
      <c r="J171" s="81" t="e">
        <f>((I103*(1-'5.Closing Stock &amp; W Capital'!$D$15))+(H103*'5.Closing Stock &amp; W Capital'!$D$15))*$C$152*J$124</f>
        <v>#REF!</v>
      </c>
      <c r="K171" s="79"/>
      <c r="U171" s="79"/>
      <c r="V171" s="79"/>
      <c r="W171" s="79"/>
    </row>
    <row r="172" spans="1:23">
      <c r="A172" s="80" t="e">
        <f t="shared" si="53"/>
        <v>#REF!</v>
      </c>
      <c r="B172" s="80"/>
      <c r="C172" s="214"/>
      <c r="D172" s="81" t="e">
        <f>(C104*(1-'5.Closing Stock &amp; W Capital'!$D$15))*$C172*D$124</f>
        <v>#REF!</v>
      </c>
      <c r="E172" s="81" t="e">
        <f>((D104*(1-'5.Closing Stock &amp; W Capital'!$D$15))+(C104*'5.Closing Stock &amp; W Capital'!$D$15))*$C172*E$124</f>
        <v>#REF!</v>
      </c>
      <c r="F172" s="81" t="e">
        <f>((E104*(1-'5.Closing Stock &amp; W Capital'!$D$15))+(D104*'5.Closing Stock &amp; W Capital'!$D$15))*$C$152*F$124</f>
        <v>#REF!</v>
      </c>
      <c r="G172" s="81" t="e">
        <f>((F104*(1-'5.Closing Stock &amp; W Capital'!$D$15))+(E104*'5.Closing Stock &amp; W Capital'!$D$15))*$C$152*G$124</f>
        <v>#REF!</v>
      </c>
      <c r="H172" s="81" t="e">
        <f>((G104*(1-'5.Closing Stock &amp; W Capital'!$D$15))+(F104*'5.Closing Stock &amp; W Capital'!$D$15))*$C$152*H$124</f>
        <v>#REF!</v>
      </c>
      <c r="I172" s="81" t="e">
        <f>((H104*(1-'5.Closing Stock &amp; W Capital'!$D$15))+(G104*'5.Closing Stock &amp; W Capital'!$D$15))*$C$152*I$124</f>
        <v>#REF!</v>
      </c>
      <c r="J172" s="81" t="e">
        <f>((I104*(1-'5.Closing Stock &amp; W Capital'!$D$15))+(H104*'5.Closing Stock &amp; W Capital'!$D$15))*$C$152*J$124</f>
        <v>#REF!</v>
      </c>
      <c r="K172" s="79"/>
      <c r="U172" s="79"/>
      <c r="V172" s="79"/>
      <c r="W172" s="79"/>
    </row>
    <row r="173" spans="1:23">
      <c r="A173" s="80" t="e">
        <f t="shared" si="53"/>
        <v>#REF!</v>
      </c>
      <c r="B173" s="80"/>
      <c r="C173" s="214"/>
      <c r="D173" s="81" t="e">
        <f>(C105*(1-'5.Closing Stock &amp; W Capital'!$D$15))*$C173*D$124</f>
        <v>#REF!</v>
      </c>
      <c r="E173" s="81" t="e">
        <f>((D105*(1-'5.Closing Stock &amp; W Capital'!$D$15))+(C105*'5.Closing Stock &amp; W Capital'!$D$15))*$C173*E$124</f>
        <v>#REF!</v>
      </c>
      <c r="F173" s="81" t="e">
        <f>((E105*(1-'5.Closing Stock &amp; W Capital'!$D$15))+(D105*'5.Closing Stock &amp; W Capital'!$D$15))*$C$152*F$124</f>
        <v>#REF!</v>
      </c>
      <c r="G173" s="81" t="e">
        <f>((F105*(1-'5.Closing Stock &amp; W Capital'!$D$15))+(E105*'5.Closing Stock &amp; W Capital'!$D$15))*$C$152*G$124</f>
        <v>#REF!</v>
      </c>
      <c r="H173" s="81" t="e">
        <f>((G105*(1-'5.Closing Stock &amp; W Capital'!$D$15))+(F105*'5.Closing Stock &amp; W Capital'!$D$15))*$C$152*H$124</f>
        <v>#REF!</v>
      </c>
      <c r="I173" s="81" t="e">
        <f>((H105*(1-'5.Closing Stock &amp; W Capital'!$D$15))+(G105*'5.Closing Stock &amp; W Capital'!$D$15))*$C$152*I$124</f>
        <v>#REF!</v>
      </c>
      <c r="J173" s="81" t="e">
        <f>((I105*(1-'5.Closing Stock &amp; W Capital'!$D$15))+(H105*'5.Closing Stock &amp; W Capital'!$D$15))*$C$152*J$124</f>
        <v>#REF!</v>
      </c>
      <c r="K173" s="79"/>
      <c r="U173" s="79"/>
      <c r="V173" s="79"/>
      <c r="W173" s="79"/>
    </row>
    <row r="174" spans="1:23">
      <c r="A174" s="80" t="e">
        <f t="shared" si="53"/>
        <v>#REF!</v>
      </c>
      <c r="B174" s="80"/>
      <c r="C174" s="214"/>
      <c r="D174" s="81" t="e">
        <f>(C106*(1-'5.Closing Stock &amp; W Capital'!$D$15))*$C174*D$124</f>
        <v>#REF!</v>
      </c>
      <c r="E174" s="81" t="e">
        <f>((D106*(1-'5.Closing Stock &amp; W Capital'!$D$15))+(C106*'5.Closing Stock &amp; W Capital'!$D$15))*$C174*E$124</f>
        <v>#REF!</v>
      </c>
      <c r="F174" s="81" t="e">
        <f>((E106*(1-'5.Closing Stock &amp; W Capital'!$D$15))+(D106*'5.Closing Stock &amp; W Capital'!$D$15))*$C$152*F$124</f>
        <v>#REF!</v>
      </c>
      <c r="G174" s="81" t="e">
        <f>((F106*(1-'5.Closing Stock &amp; W Capital'!$D$15))+(E106*'5.Closing Stock &amp; W Capital'!$D$15))*$C$152*G$124</f>
        <v>#REF!</v>
      </c>
      <c r="H174" s="81" t="e">
        <f>((G106*(1-'5.Closing Stock &amp; W Capital'!$D$15))+(F106*'5.Closing Stock &amp; W Capital'!$D$15))*$C$152*H$124</f>
        <v>#REF!</v>
      </c>
      <c r="I174" s="81" t="e">
        <f>((H106*(1-'5.Closing Stock &amp; W Capital'!$D$15))+(G106*'5.Closing Stock &amp; W Capital'!$D$15))*$C$152*I$124</f>
        <v>#REF!</v>
      </c>
      <c r="J174" s="81" t="e">
        <f>((I106*(1-'5.Closing Stock &amp; W Capital'!$D$15))+(H106*'5.Closing Stock &amp; W Capital'!$D$15))*$C$152*J$124</f>
        <v>#REF!</v>
      </c>
      <c r="K174" s="79"/>
      <c r="U174" s="79"/>
      <c r="V174" s="79"/>
      <c r="W174" s="79"/>
    </row>
    <row r="175" spans="1:23">
      <c r="A175" s="80" t="e">
        <f t="shared" si="53"/>
        <v>#REF!</v>
      </c>
      <c r="B175" s="80"/>
      <c r="C175" s="214"/>
      <c r="D175" s="81" t="e">
        <f>(C107*(1-'5.Closing Stock &amp; W Capital'!$D$15))*$C175*D$124</f>
        <v>#REF!</v>
      </c>
      <c r="E175" s="81" t="e">
        <f>((D107*(1-'5.Closing Stock &amp; W Capital'!$D$15))+(C107*'5.Closing Stock &amp; W Capital'!$D$15))*$C175*E$124</f>
        <v>#REF!</v>
      </c>
      <c r="F175" s="81" t="e">
        <f>((E107*(1-'5.Closing Stock &amp; W Capital'!$D$15))+(D107*'5.Closing Stock &amp; W Capital'!$D$15))*$C$152*F$124</f>
        <v>#REF!</v>
      </c>
      <c r="G175" s="81" t="e">
        <f>((F107*(1-'5.Closing Stock &amp; W Capital'!$D$15))+(E107*'5.Closing Stock &amp; W Capital'!$D$15))*$C$152*G$124</f>
        <v>#REF!</v>
      </c>
      <c r="H175" s="81" t="e">
        <f>((G107*(1-'5.Closing Stock &amp; W Capital'!$D$15))+(F107*'5.Closing Stock &amp; W Capital'!$D$15))*$C$152*H$124</f>
        <v>#REF!</v>
      </c>
      <c r="I175" s="81" t="e">
        <f>((H107*(1-'5.Closing Stock &amp; W Capital'!$D$15))+(G107*'5.Closing Stock &amp; W Capital'!$D$15))*$C$152*I$124</f>
        <v>#REF!</v>
      </c>
      <c r="J175" s="81" t="e">
        <f>((I107*(1-'5.Closing Stock &amp; W Capital'!$D$15))+(H107*'5.Closing Stock &amp; W Capital'!$D$15))*$C$152*J$124</f>
        <v>#REF!</v>
      </c>
      <c r="K175" s="79"/>
      <c r="U175" s="79"/>
      <c r="V175" s="79"/>
      <c r="W175" s="79"/>
    </row>
    <row r="176" spans="1:23">
      <c r="A176" s="80" t="e">
        <f t="shared" si="53"/>
        <v>#REF!</v>
      </c>
      <c r="B176" s="80"/>
      <c r="C176" s="214"/>
      <c r="D176" s="81" t="e">
        <f>(C108*(1-'5.Closing Stock &amp; W Capital'!$D$15))*$C176*D$124</f>
        <v>#REF!</v>
      </c>
      <c r="E176" s="81" t="e">
        <f>((D108*(1-'5.Closing Stock &amp; W Capital'!$D$15))+(C108*'5.Closing Stock &amp; W Capital'!$D$15))*$C176*E$124</f>
        <v>#REF!</v>
      </c>
      <c r="F176" s="81" t="e">
        <f>((E108*(1-'5.Closing Stock &amp; W Capital'!$D$15))+(D108*'5.Closing Stock &amp; W Capital'!$D$15))*$C$152*F$124</f>
        <v>#REF!</v>
      </c>
      <c r="G176" s="81" t="e">
        <f>((F108*(1-'5.Closing Stock &amp; W Capital'!$D$15))+(E108*'5.Closing Stock &amp; W Capital'!$D$15))*$C$152*G$124</f>
        <v>#REF!</v>
      </c>
      <c r="H176" s="81" t="e">
        <f>((G108*(1-'5.Closing Stock &amp; W Capital'!$D$15))+(F108*'5.Closing Stock &amp; W Capital'!$D$15))*$C$152*H$124</f>
        <v>#REF!</v>
      </c>
      <c r="I176" s="81" t="e">
        <f>((H108*(1-'5.Closing Stock &amp; W Capital'!$D$15))+(G108*'5.Closing Stock &amp; W Capital'!$D$15))*$C$152*I$124</f>
        <v>#REF!</v>
      </c>
      <c r="J176" s="81" t="e">
        <f>((I108*(1-'5.Closing Stock &amp; W Capital'!$D$15))+(H108*'5.Closing Stock &amp; W Capital'!$D$15))*$C$152*J$124</f>
        <v>#REF!</v>
      </c>
      <c r="K176" s="79"/>
      <c r="U176" s="79"/>
      <c r="V176" s="79"/>
      <c r="W176" s="79"/>
    </row>
    <row r="177" spans="1:23">
      <c r="A177" s="80" t="e">
        <f t="shared" si="53"/>
        <v>#REF!</v>
      </c>
      <c r="B177" s="80"/>
      <c r="C177" s="214"/>
      <c r="D177" s="81" t="e">
        <f>(C109*(1-'5.Closing Stock &amp; W Capital'!$D$15))*$C177*D$124</f>
        <v>#REF!</v>
      </c>
      <c r="E177" s="81" t="e">
        <f>((D109*(1-'5.Closing Stock &amp; W Capital'!$D$15))+(C109*'5.Closing Stock &amp; W Capital'!$D$15))*$C177*E$124</f>
        <v>#REF!</v>
      </c>
      <c r="F177" s="81" t="e">
        <f>((E109*(1-'5.Closing Stock &amp; W Capital'!$D$15))+(D109*'5.Closing Stock &amp; W Capital'!$D$15))*$C$152*F$124</f>
        <v>#REF!</v>
      </c>
      <c r="G177" s="81" t="e">
        <f>((F109*(1-'5.Closing Stock &amp; W Capital'!$D$15))+(E109*'5.Closing Stock &amp; W Capital'!$D$15))*$C$152*G$124</f>
        <v>#REF!</v>
      </c>
      <c r="H177" s="81" t="e">
        <f>((G109*(1-'5.Closing Stock &amp; W Capital'!$D$15))+(F109*'5.Closing Stock &amp; W Capital'!$D$15))*$C$152*H$124</f>
        <v>#REF!</v>
      </c>
      <c r="I177" s="81" t="e">
        <f>((H109*(1-'5.Closing Stock &amp; W Capital'!$D$15))+(G109*'5.Closing Stock &amp; W Capital'!$D$15))*$C$152*I$124</f>
        <v>#REF!</v>
      </c>
      <c r="J177" s="81" t="e">
        <f>((I109*(1-'5.Closing Stock &amp; W Capital'!$D$15))+(H109*'5.Closing Stock &amp; W Capital'!$D$15))*$C$152*J$124</f>
        <v>#REF!</v>
      </c>
      <c r="K177" s="79"/>
      <c r="U177" s="79"/>
      <c r="V177" s="79"/>
      <c r="W177" s="79"/>
    </row>
    <row r="178" spans="1:23">
      <c r="A178" s="80" t="e">
        <f t="shared" si="53"/>
        <v>#REF!</v>
      </c>
      <c r="B178" s="80"/>
      <c r="C178" s="214"/>
      <c r="D178" s="81" t="e">
        <f>(C110*(1-'5.Closing Stock &amp; W Capital'!$D$15))*$C178*D$124</f>
        <v>#REF!</v>
      </c>
      <c r="E178" s="81" t="e">
        <f>((D110*(1-'5.Closing Stock &amp; W Capital'!$D$15))+(C110*'5.Closing Stock &amp; W Capital'!$D$15))*$C178*E$124</f>
        <v>#REF!</v>
      </c>
      <c r="F178" s="81" t="e">
        <f>((E110*(1-'5.Closing Stock &amp; W Capital'!$D$15))+(D110*'5.Closing Stock &amp; W Capital'!$D$15))*$C$152*F$124</f>
        <v>#REF!</v>
      </c>
      <c r="G178" s="81" t="e">
        <f>((F110*(1-'5.Closing Stock &amp; W Capital'!$D$15))+(E110*'5.Closing Stock &amp; W Capital'!$D$15))*$C$152*G$124</f>
        <v>#REF!</v>
      </c>
      <c r="H178" s="81" t="e">
        <f>((G110*(1-'5.Closing Stock &amp; W Capital'!$D$15))+(F110*'5.Closing Stock &amp; W Capital'!$D$15))*$C$152*H$124</f>
        <v>#REF!</v>
      </c>
      <c r="I178" s="81" t="e">
        <f>((H110*(1-'5.Closing Stock &amp; W Capital'!$D$15))+(G110*'5.Closing Stock &amp; W Capital'!$D$15))*$C$152*I$124</f>
        <v>#REF!</v>
      </c>
      <c r="J178" s="81" t="e">
        <f>((I110*(1-'5.Closing Stock &amp; W Capital'!$D$15))+(H110*'5.Closing Stock &amp; W Capital'!$D$15))*$C$152*J$124</f>
        <v>#REF!</v>
      </c>
      <c r="K178" s="79"/>
      <c r="U178" s="79"/>
      <c r="V178" s="79"/>
      <c r="W178" s="79"/>
    </row>
    <row r="179" spans="1:23">
      <c r="A179" s="80">
        <f t="shared" si="53"/>
        <v>0</v>
      </c>
      <c r="B179" s="80"/>
      <c r="C179" s="214"/>
      <c r="D179" s="81"/>
      <c r="E179" s="81"/>
      <c r="F179" s="81"/>
      <c r="G179" s="81"/>
      <c r="H179" s="81"/>
      <c r="I179" s="81"/>
      <c r="J179" s="81"/>
      <c r="K179" s="79"/>
      <c r="U179" s="79"/>
      <c r="V179" s="79"/>
      <c r="W179" s="79"/>
    </row>
    <row r="180" spans="1:23">
      <c r="A180" s="80"/>
      <c r="B180" s="80"/>
      <c r="C180" s="81"/>
      <c r="D180" s="81"/>
      <c r="E180" s="81"/>
      <c r="F180" s="81"/>
      <c r="G180" s="81"/>
      <c r="H180" s="81"/>
      <c r="I180" s="81"/>
      <c r="J180" s="81"/>
      <c r="K180" s="79"/>
      <c r="U180" s="79"/>
      <c r="V180" s="79"/>
      <c r="W180" s="79"/>
    </row>
    <row r="181" spans="1:23">
      <c r="A181" s="80" t="s">
        <v>278</v>
      </c>
      <c r="B181" s="80"/>
      <c r="C181" s="81"/>
      <c r="D181" s="81"/>
      <c r="E181" s="81"/>
      <c r="F181" s="81"/>
      <c r="G181" s="81"/>
      <c r="H181" s="81"/>
      <c r="I181" s="81"/>
      <c r="J181" s="81"/>
      <c r="K181" s="79"/>
      <c r="U181" s="79"/>
      <c r="V181" s="79"/>
      <c r="W181" s="79"/>
    </row>
    <row r="182" spans="1:23">
      <c r="A182" s="80" t="s">
        <v>386</v>
      </c>
      <c r="B182" s="80"/>
      <c r="C182" s="214">
        <f>350/50</f>
        <v>7</v>
      </c>
      <c r="D182" s="81" t="e">
        <f>(C114*(1-'5.Closing Stock &amp; W Capital'!$D$15))*$C$182*D124</f>
        <v>#REF!</v>
      </c>
      <c r="E182" s="81" t="e">
        <f>((D114*(1-'5.Closing Stock &amp; W Capital'!$D$15))+(C114*'5.Closing Stock &amp; W Capital'!$D$15))*$C$182*E124</f>
        <v>#REF!</v>
      </c>
      <c r="F182" s="81" t="e">
        <f>((E114*(1-'5.Closing Stock &amp; W Capital'!$D$15))+(D114*'5.Closing Stock &amp; W Capital'!$D$15))*$C$182*F124</f>
        <v>#REF!</v>
      </c>
      <c r="G182" s="81" t="e">
        <f>((F114*(1-'5.Closing Stock &amp; W Capital'!$D$15))+(E114*'5.Closing Stock &amp; W Capital'!$D$15))*$C$182*G124</f>
        <v>#REF!</v>
      </c>
      <c r="H182" s="81" t="e">
        <f>((G114*(1-'5.Closing Stock &amp; W Capital'!$D$15))+(F114*'5.Closing Stock &amp; W Capital'!$D$15))*$C$182*H124</f>
        <v>#REF!</v>
      </c>
      <c r="I182" s="81" t="e">
        <f>((H114*(1-'5.Closing Stock &amp; W Capital'!$D$15))+(G114*'5.Closing Stock &amp; W Capital'!$D$15))*$C$182*I124</f>
        <v>#REF!</v>
      </c>
      <c r="J182" s="81" t="e">
        <f>((I114*(1-'5.Closing Stock &amp; W Capital'!$D$15))+(H114*'5.Closing Stock &amp; W Capital'!$D$15))*$C$182*J124</f>
        <v>#REF!</v>
      </c>
      <c r="K182" s="79"/>
      <c r="U182" s="79"/>
      <c r="V182" s="79"/>
      <c r="W182" s="79"/>
    </row>
    <row r="183" spans="1:23">
      <c r="A183" s="80" t="s">
        <v>173</v>
      </c>
      <c r="B183" s="80"/>
      <c r="C183" s="214">
        <v>8</v>
      </c>
      <c r="D183" s="81" t="e">
        <f>(C115*(1-'5.Closing Stock &amp; W Capital'!$D$15))*$C$183*D124</f>
        <v>#REF!</v>
      </c>
      <c r="E183" s="81" t="e">
        <f>((D115*(1-'5.Closing Stock &amp; W Capital'!$D$15))+(C115*'5.Closing Stock &amp; W Capital'!$D$15))*$C$183*E124</f>
        <v>#REF!</v>
      </c>
      <c r="F183" s="81" t="e">
        <f>((E115*(1-'5.Closing Stock &amp; W Capital'!$D$15))+(D115*'5.Closing Stock &amp; W Capital'!$D$15))*$C$183*F124</f>
        <v>#REF!</v>
      </c>
      <c r="G183" s="81" t="e">
        <f>((F115*(1-'5.Closing Stock &amp; W Capital'!$D$15))+(E115*'5.Closing Stock &amp; W Capital'!$D$15))*$C$183*G124</f>
        <v>#REF!</v>
      </c>
      <c r="H183" s="81" t="e">
        <f>((G115*(1-'5.Closing Stock &amp; W Capital'!$D$15))+(F115*'5.Closing Stock &amp; W Capital'!$D$15))*$C$183*H124</f>
        <v>#REF!</v>
      </c>
      <c r="I183" s="81" t="e">
        <f>((H115*(1-'5.Closing Stock &amp; W Capital'!$D$15))+(G115*'5.Closing Stock &amp; W Capital'!$D$15))*$C$183*I124</f>
        <v>#REF!</v>
      </c>
      <c r="J183" s="81" t="e">
        <f>((I115*(1-'5.Closing Stock &amp; W Capital'!$D$15))+(H115*'5.Closing Stock &amp; W Capital'!$D$15))*$C$183*J124</f>
        <v>#REF!</v>
      </c>
      <c r="K183" s="79"/>
      <c r="U183" s="79"/>
      <c r="V183" s="79"/>
      <c r="W183" s="79"/>
    </row>
    <row r="184" spans="1:23">
      <c r="A184" s="80" t="s">
        <v>175</v>
      </c>
      <c r="B184" s="80"/>
      <c r="C184" s="214">
        <v>30</v>
      </c>
      <c r="D184" s="81" t="e">
        <f>(C116*(1-'5.Closing Stock &amp; W Capital'!$D$15))*$C$184*D124</f>
        <v>#REF!</v>
      </c>
      <c r="E184" s="81" t="e">
        <f>((D116*(1-'5.Closing Stock &amp; W Capital'!$D$15))+(C116*'5.Closing Stock &amp; W Capital'!$D$15))*$C$184*E124</f>
        <v>#REF!</v>
      </c>
      <c r="F184" s="81" t="e">
        <f>((E116*(1-'5.Closing Stock &amp; W Capital'!$D$15))+(D116*'5.Closing Stock &amp; W Capital'!$D$15))*$C$184*F124</f>
        <v>#REF!</v>
      </c>
      <c r="G184" s="81" t="e">
        <f>((F116*(1-'5.Closing Stock &amp; W Capital'!$D$15))+(E116*'5.Closing Stock &amp; W Capital'!$D$15))*$C$184*G124</f>
        <v>#REF!</v>
      </c>
      <c r="H184" s="81" t="e">
        <f>((G116*(1-'5.Closing Stock &amp; W Capital'!$D$15))+(F116*'5.Closing Stock &amp; W Capital'!$D$15))*$C$184*H124</f>
        <v>#REF!</v>
      </c>
      <c r="I184" s="81" t="e">
        <f>((H116*(1-'5.Closing Stock &amp; W Capital'!$D$15))+(G116*'5.Closing Stock &amp; W Capital'!$D$15))*$C$184*I124</f>
        <v>#REF!</v>
      </c>
      <c r="J184" s="81" t="e">
        <f>((I116*(1-'5.Closing Stock &amp; W Capital'!$D$15))+(H116*'5.Closing Stock &amp; W Capital'!$D$15))*$C$184*J124</f>
        <v>#REF!</v>
      </c>
      <c r="K184" s="79"/>
      <c r="U184" s="79"/>
      <c r="V184" s="79"/>
      <c r="W184" s="79"/>
    </row>
    <row r="185" spans="1:23">
      <c r="A185" s="80"/>
      <c r="B185" s="80"/>
      <c r="C185" s="81"/>
      <c r="D185" s="81"/>
      <c r="E185" s="81"/>
      <c r="F185" s="81"/>
      <c r="G185" s="81"/>
      <c r="H185" s="81"/>
      <c r="I185" s="81"/>
      <c r="J185" s="81"/>
      <c r="K185" s="79"/>
      <c r="U185" s="79"/>
      <c r="V185" s="79"/>
      <c r="W185" s="79"/>
    </row>
    <row r="186" spans="1:23">
      <c r="A186" s="80" t="s">
        <v>174</v>
      </c>
      <c r="B186" s="80"/>
      <c r="C186" s="81"/>
      <c r="D186" s="81"/>
      <c r="E186" s="81"/>
      <c r="F186" s="81"/>
      <c r="G186" s="81"/>
      <c r="H186" s="81"/>
      <c r="I186" s="81"/>
      <c r="J186" s="81"/>
      <c r="K186" s="79"/>
      <c r="U186" s="79"/>
      <c r="V186" s="79"/>
      <c r="W186" s="79"/>
    </row>
    <row r="187" spans="1:23">
      <c r="A187" s="80" t="s">
        <v>180</v>
      </c>
      <c r="B187" s="80"/>
      <c r="C187" s="214">
        <v>3000</v>
      </c>
      <c r="D187" s="81" t="e">
        <f>(C118*(1-'5.Closing Stock &amp; W Capital'!$D$15))*$C$187*D124</f>
        <v>#REF!</v>
      </c>
      <c r="E187" s="81" t="e">
        <f>((D118*(1-'5.Closing Stock &amp; W Capital'!$D$15))+(C118*'5.Closing Stock &amp; W Capital'!$D$15))*$C$187*E124</f>
        <v>#REF!</v>
      </c>
      <c r="F187" s="81" t="e">
        <f>((E118*(1-'5.Closing Stock &amp; W Capital'!$D$15))+(D118*'5.Closing Stock &amp; W Capital'!$D$15))*$C$187*F124</f>
        <v>#REF!</v>
      </c>
      <c r="G187" s="81" t="e">
        <f>((F118*(1-'5.Closing Stock &amp; W Capital'!$D$15))+(E118*'5.Closing Stock &amp; W Capital'!$D$15))*$C$187*G124</f>
        <v>#REF!</v>
      </c>
      <c r="H187" s="81" t="e">
        <f>((G118*(1-'5.Closing Stock &amp; W Capital'!$D$15))+(F118*'5.Closing Stock &amp; W Capital'!$D$15))*$C$187*H124</f>
        <v>#REF!</v>
      </c>
      <c r="I187" s="81" t="e">
        <f>((H118*(1-'5.Closing Stock &amp; W Capital'!$D$15))+(G118*'5.Closing Stock &amp; W Capital'!$D$15))*$C$187*I124</f>
        <v>#REF!</v>
      </c>
      <c r="J187" s="81" t="e">
        <f>((I118*(1-'5.Closing Stock &amp; W Capital'!$D$15))+(H118*'5.Closing Stock &amp; W Capital'!$D$15))*$C$187*J124</f>
        <v>#REF!</v>
      </c>
      <c r="K187" s="79"/>
      <c r="U187" s="170"/>
      <c r="V187" s="170"/>
      <c r="W187" s="170"/>
    </row>
    <row r="188" spans="1:23">
      <c r="A188" s="80" t="s">
        <v>181</v>
      </c>
      <c r="B188" s="80"/>
      <c r="C188" s="214">
        <v>2200</v>
      </c>
      <c r="D188" s="81" t="e">
        <f>(C119*(1-'5.Closing Stock &amp; W Capital'!$D$15))*$C$188*D124</f>
        <v>#REF!</v>
      </c>
      <c r="E188" s="81" t="e">
        <f>((D119*(1-'5.Closing Stock &amp; W Capital'!$D$15))+(C119*'5.Closing Stock &amp; W Capital'!$D$15))*$C$188*E124</f>
        <v>#REF!</v>
      </c>
      <c r="F188" s="81" t="e">
        <f>((E119*(1-'5.Closing Stock &amp; W Capital'!$D$15))+(D119*'5.Closing Stock &amp; W Capital'!$D$15))*$C$188*F124</f>
        <v>#REF!</v>
      </c>
      <c r="G188" s="81" t="e">
        <f>((F119*(1-'5.Closing Stock &amp; W Capital'!$D$15))+(E119*'5.Closing Stock &amp; W Capital'!$D$15))*$C$188*G124</f>
        <v>#REF!</v>
      </c>
      <c r="H188" s="81" t="e">
        <f>((G119*(1-'5.Closing Stock &amp; W Capital'!$D$15))+(F119*'5.Closing Stock &amp; W Capital'!$D$15))*$C$188*H124</f>
        <v>#REF!</v>
      </c>
      <c r="I188" s="81" t="e">
        <f>((H119*(1-'5.Closing Stock &amp; W Capital'!$D$15))+(G119*'5.Closing Stock &amp; W Capital'!$D$15))*$C$188*I124</f>
        <v>#REF!</v>
      </c>
      <c r="J188" s="81" t="e">
        <f>((I119*(1-'5.Closing Stock &amp; W Capital'!$D$15))+(H119*'5.Closing Stock &amp; W Capital'!$D$15))*$C$188*J124</f>
        <v>#REF!</v>
      </c>
      <c r="K188" s="79"/>
      <c r="U188" s="79"/>
      <c r="V188" s="79"/>
      <c r="W188" s="79"/>
    </row>
    <row r="189" spans="1:23">
      <c r="A189" s="80"/>
      <c r="B189" s="80"/>
      <c r="C189" s="81"/>
      <c r="D189" s="81"/>
      <c r="E189" s="81"/>
      <c r="F189" s="81"/>
      <c r="G189" s="81"/>
      <c r="H189" s="81"/>
      <c r="I189" s="81"/>
      <c r="J189" s="81"/>
      <c r="K189" s="79"/>
      <c r="U189" s="79"/>
      <c r="V189" s="79"/>
      <c r="W189" s="79"/>
    </row>
    <row r="190" spans="1:23">
      <c r="A190" s="80"/>
      <c r="B190" s="80"/>
      <c r="C190" s="81"/>
      <c r="D190" s="81"/>
      <c r="E190" s="81"/>
      <c r="F190" s="81"/>
      <c r="G190" s="81"/>
      <c r="H190" s="81"/>
      <c r="I190" s="81"/>
      <c r="J190" s="81"/>
      <c r="K190" s="79"/>
      <c r="U190" s="79"/>
      <c r="V190" s="79"/>
      <c r="W190" s="79"/>
    </row>
    <row r="191" spans="1:23">
      <c r="A191" s="82" t="s">
        <v>138</v>
      </c>
      <c r="B191" s="82"/>
      <c r="C191" s="98"/>
      <c r="D191" s="98" t="e">
        <f t="shared" ref="D191:J191" si="54">SUM(D130:D188)</f>
        <v>#REF!</v>
      </c>
      <c r="E191" s="98" t="e">
        <f t="shared" si="54"/>
        <v>#REF!</v>
      </c>
      <c r="F191" s="98" t="e">
        <f t="shared" si="54"/>
        <v>#REF!</v>
      </c>
      <c r="G191" s="98" t="e">
        <f t="shared" si="54"/>
        <v>#REF!</v>
      </c>
      <c r="H191" s="98" t="e">
        <f t="shared" si="54"/>
        <v>#REF!</v>
      </c>
      <c r="I191" s="98" t="e">
        <f t="shared" si="54"/>
        <v>#REF!</v>
      </c>
      <c r="J191" s="98" t="e">
        <f t="shared" si="54"/>
        <v>#REF!</v>
      </c>
      <c r="K191" s="79"/>
      <c r="U191" s="79"/>
      <c r="V191" s="79"/>
      <c r="W191" s="79"/>
    </row>
    <row r="192" spans="1:23">
      <c r="A192" s="80"/>
      <c r="B192" s="80"/>
      <c r="C192" s="81"/>
      <c r="D192" s="81"/>
      <c r="E192" s="81"/>
      <c r="F192" s="81"/>
      <c r="G192" s="81"/>
      <c r="H192" s="81"/>
      <c r="I192" s="81"/>
      <c r="J192" s="81"/>
      <c r="K192" s="79"/>
      <c r="U192" s="79"/>
      <c r="V192" s="79"/>
      <c r="W192" s="79"/>
    </row>
    <row r="193" spans="1:23">
      <c r="A193" s="80"/>
      <c r="B193" s="80"/>
      <c r="C193" s="81"/>
      <c r="D193" s="81"/>
      <c r="E193" s="81"/>
      <c r="F193" s="81"/>
      <c r="G193" s="81"/>
      <c r="H193" s="81"/>
      <c r="I193" s="81"/>
      <c r="J193" s="81"/>
      <c r="K193" s="79"/>
      <c r="U193" s="79"/>
      <c r="V193" s="79"/>
      <c r="W193" s="79"/>
    </row>
    <row r="194" spans="1:23">
      <c r="A194" s="82" t="s">
        <v>137</v>
      </c>
      <c r="B194" s="82"/>
      <c r="C194" s="81"/>
      <c r="D194" s="81"/>
      <c r="E194" s="81"/>
      <c r="F194" s="81"/>
      <c r="G194" s="81"/>
      <c r="H194" s="81"/>
      <c r="I194" s="81"/>
      <c r="J194" s="81"/>
      <c r="K194" s="79"/>
      <c r="U194" s="79"/>
      <c r="V194" s="79"/>
      <c r="W194" s="79"/>
    </row>
    <row r="195" spans="1:23">
      <c r="A195" s="82" t="str">
        <f>A128</f>
        <v>Seeds (Rate/KG)</v>
      </c>
      <c r="B195" s="82"/>
      <c r="C195" s="81"/>
      <c r="D195" s="81"/>
      <c r="E195" s="81"/>
      <c r="F195" s="81"/>
      <c r="G195" s="81"/>
      <c r="H195" s="81"/>
      <c r="I195" s="81"/>
      <c r="J195" s="81"/>
      <c r="K195" s="79"/>
      <c r="U195" s="79"/>
      <c r="V195" s="79"/>
      <c r="W195" s="79"/>
    </row>
    <row r="196" spans="1:23">
      <c r="A196" s="79" t="s">
        <v>301</v>
      </c>
      <c r="B196" s="79"/>
      <c r="C196" s="79"/>
      <c r="D196" s="79"/>
      <c r="E196" s="79"/>
      <c r="F196" s="79"/>
      <c r="G196" s="79"/>
      <c r="H196" s="79"/>
      <c r="I196" s="79"/>
      <c r="J196" s="79"/>
      <c r="K196" s="79"/>
      <c r="U196" s="79"/>
      <c r="V196" s="79"/>
      <c r="W196" s="79"/>
    </row>
    <row r="197" spans="1:23">
      <c r="A197" s="80">
        <f t="shared" ref="A197:A238" si="55">A130</f>
        <v>0</v>
      </c>
      <c r="B197" s="79"/>
      <c r="C197" s="214">
        <v>85</v>
      </c>
      <c r="D197" s="81">
        <f t="shared" ref="D197:J206" si="56">C62*$C197*D$124</f>
        <v>0</v>
      </c>
      <c r="E197" s="81">
        <f t="shared" si="56"/>
        <v>0</v>
      </c>
      <c r="F197" s="81">
        <f t="shared" si="56"/>
        <v>0</v>
      </c>
      <c r="G197" s="81">
        <f t="shared" si="56"/>
        <v>0</v>
      </c>
      <c r="H197" s="81">
        <f t="shared" si="56"/>
        <v>0</v>
      </c>
      <c r="I197" s="81">
        <f t="shared" si="56"/>
        <v>0</v>
      </c>
      <c r="J197" s="81">
        <f t="shared" si="56"/>
        <v>0</v>
      </c>
      <c r="K197" s="79"/>
      <c r="U197" s="79"/>
      <c r="V197" s="79"/>
      <c r="W197" s="79"/>
    </row>
    <row r="198" spans="1:23">
      <c r="A198" s="80">
        <f t="shared" si="55"/>
        <v>0</v>
      </c>
      <c r="B198" s="80"/>
      <c r="C198" s="214">
        <v>75</v>
      </c>
      <c r="D198" s="81">
        <f t="shared" si="56"/>
        <v>0</v>
      </c>
      <c r="E198" s="81">
        <f t="shared" si="56"/>
        <v>0</v>
      </c>
      <c r="F198" s="81">
        <f t="shared" si="56"/>
        <v>0</v>
      </c>
      <c r="G198" s="81">
        <f t="shared" si="56"/>
        <v>0</v>
      </c>
      <c r="H198" s="81">
        <f t="shared" si="56"/>
        <v>0</v>
      </c>
      <c r="I198" s="81">
        <f t="shared" si="56"/>
        <v>0</v>
      </c>
      <c r="J198" s="81">
        <f t="shared" si="56"/>
        <v>0</v>
      </c>
      <c r="K198" s="79"/>
      <c r="U198" s="79"/>
      <c r="V198" s="79"/>
      <c r="W198" s="79"/>
    </row>
    <row r="199" spans="1:23">
      <c r="A199" s="80">
        <f t="shared" si="55"/>
        <v>0</v>
      </c>
      <c r="B199" s="80"/>
      <c r="C199" s="214">
        <v>57</v>
      </c>
      <c r="D199" s="81">
        <f t="shared" si="56"/>
        <v>0</v>
      </c>
      <c r="E199" s="81">
        <f t="shared" si="56"/>
        <v>0</v>
      </c>
      <c r="F199" s="81">
        <f t="shared" si="56"/>
        <v>0</v>
      </c>
      <c r="G199" s="81">
        <f t="shared" si="56"/>
        <v>0</v>
      </c>
      <c r="H199" s="81">
        <f t="shared" si="56"/>
        <v>0</v>
      </c>
      <c r="I199" s="81">
        <f t="shared" si="56"/>
        <v>0</v>
      </c>
      <c r="J199" s="81">
        <f t="shared" si="56"/>
        <v>0</v>
      </c>
      <c r="K199" s="79"/>
      <c r="U199" s="79"/>
      <c r="V199" s="79"/>
      <c r="W199" s="79"/>
    </row>
    <row r="200" spans="1:23">
      <c r="A200" s="80">
        <f t="shared" si="55"/>
        <v>0</v>
      </c>
      <c r="B200" s="80"/>
      <c r="C200" s="214">
        <v>80</v>
      </c>
      <c r="D200" s="81">
        <f t="shared" si="56"/>
        <v>0</v>
      </c>
      <c r="E200" s="81">
        <f t="shared" si="56"/>
        <v>0</v>
      </c>
      <c r="F200" s="81">
        <f t="shared" si="56"/>
        <v>0</v>
      </c>
      <c r="G200" s="81">
        <f t="shared" si="56"/>
        <v>0</v>
      </c>
      <c r="H200" s="81">
        <f t="shared" si="56"/>
        <v>0</v>
      </c>
      <c r="I200" s="81">
        <f t="shared" si="56"/>
        <v>0</v>
      </c>
      <c r="J200" s="81">
        <f t="shared" si="56"/>
        <v>0</v>
      </c>
      <c r="K200" s="79"/>
      <c r="L200" s="79"/>
      <c r="M200" s="79"/>
      <c r="N200" s="79"/>
      <c r="O200" s="79"/>
      <c r="P200" s="79"/>
      <c r="Q200" s="79"/>
      <c r="R200" s="79"/>
      <c r="S200" s="79"/>
      <c r="T200" s="79"/>
      <c r="U200" s="79"/>
      <c r="V200" s="79"/>
      <c r="W200" s="79"/>
    </row>
    <row r="201" spans="1:23">
      <c r="A201" s="80">
        <f t="shared" si="55"/>
        <v>0</v>
      </c>
      <c r="B201" s="80"/>
      <c r="C201" s="214">
        <v>25</v>
      </c>
      <c r="D201" s="81">
        <f t="shared" si="56"/>
        <v>0</v>
      </c>
      <c r="E201" s="81">
        <f t="shared" si="56"/>
        <v>0</v>
      </c>
      <c r="F201" s="81">
        <f t="shared" si="56"/>
        <v>0</v>
      </c>
      <c r="G201" s="81">
        <f t="shared" si="56"/>
        <v>0</v>
      </c>
      <c r="H201" s="81">
        <f t="shared" si="56"/>
        <v>0</v>
      </c>
      <c r="I201" s="81">
        <f t="shared" si="56"/>
        <v>0</v>
      </c>
      <c r="J201" s="81">
        <f t="shared" si="56"/>
        <v>0</v>
      </c>
      <c r="K201" s="79"/>
      <c r="L201" s="79"/>
      <c r="M201" s="79"/>
      <c r="N201" s="79"/>
      <c r="O201" s="79"/>
      <c r="P201" s="79"/>
      <c r="Q201" s="79"/>
      <c r="R201" s="79"/>
      <c r="S201" s="79"/>
      <c r="T201" s="79"/>
      <c r="U201" s="79"/>
      <c r="V201" s="79"/>
      <c r="W201" s="79"/>
    </row>
    <row r="202" spans="1:23">
      <c r="A202" s="80">
        <f t="shared" si="55"/>
        <v>0</v>
      </c>
      <c r="B202" s="80"/>
      <c r="C202" s="214">
        <v>70</v>
      </c>
      <c r="D202" s="81">
        <f t="shared" si="56"/>
        <v>0</v>
      </c>
      <c r="E202" s="81">
        <f t="shared" si="56"/>
        <v>0</v>
      </c>
      <c r="F202" s="81">
        <f t="shared" si="56"/>
        <v>0</v>
      </c>
      <c r="G202" s="81">
        <f t="shared" si="56"/>
        <v>0</v>
      </c>
      <c r="H202" s="81">
        <f t="shared" si="56"/>
        <v>0</v>
      </c>
      <c r="I202" s="81">
        <f t="shared" si="56"/>
        <v>0</v>
      </c>
      <c r="J202" s="81">
        <f t="shared" si="56"/>
        <v>0</v>
      </c>
      <c r="K202" s="79"/>
      <c r="L202" s="79"/>
      <c r="M202" s="79"/>
      <c r="N202" s="79"/>
      <c r="O202" s="79"/>
      <c r="P202" s="79"/>
      <c r="Q202" s="79"/>
      <c r="R202" s="79"/>
      <c r="S202" s="79"/>
      <c r="T202" s="79"/>
      <c r="U202" s="79"/>
      <c r="V202" s="79"/>
      <c r="W202" s="79"/>
    </row>
    <row r="203" spans="1:23">
      <c r="A203" s="80">
        <f t="shared" si="55"/>
        <v>0</v>
      </c>
      <c r="B203" s="80"/>
      <c r="C203" s="214">
        <v>25</v>
      </c>
      <c r="D203" s="81">
        <f t="shared" si="56"/>
        <v>0</v>
      </c>
      <c r="E203" s="81">
        <f t="shared" si="56"/>
        <v>0</v>
      </c>
      <c r="F203" s="81">
        <f t="shared" si="56"/>
        <v>0</v>
      </c>
      <c r="G203" s="81">
        <f t="shared" si="56"/>
        <v>0</v>
      </c>
      <c r="H203" s="81">
        <f t="shared" si="56"/>
        <v>0</v>
      </c>
      <c r="I203" s="81">
        <f t="shared" si="56"/>
        <v>0</v>
      </c>
      <c r="J203" s="81">
        <f t="shared" si="56"/>
        <v>0</v>
      </c>
      <c r="K203" s="79"/>
      <c r="L203" s="79"/>
      <c r="M203" s="79"/>
      <c r="N203" s="79"/>
      <c r="O203" s="79"/>
      <c r="P203" s="79"/>
      <c r="Q203" s="79"/>
      <c r="R203" s="79"/>
      <c r="S203" s="79"/>
      <c r="T203" s="79"/>
      <c r="U203" s="79"/>
      <c r="V203" s="79"/>
      <c r="W203" s="79"/>
    </row>
    <row r="204" spans="1:23">
      <c r="A204" s="80">
        <f t="shared" si="55"/>
        <v>0</v>
      </c>
      <c r="B204" s="80"/>
      <c r="C204" s="214">
        <v>25</v>
      </c>
      <c r="D204" s="81">
        <f t="shared" si="56"/>
        <v>0</v>
      </c>
      <c r="E204" s="81">
        <f t="shared" si="56"/>
        <v>0</v>
      </c>
      <c r="F204" s="81">
        <f t="shared" si="56"/>
        <v>0</v>
      </c>
      <c r="G204" s="81">
        <f t="shared" si="56"/>
        <v>0</v>
      </c>
      <c r="H204" s="81">
        <f t="shared" si="56"/>
        <v>0</v>
      </c>
      <c r="I204" s="81">
        <f t="shared" si="56"/>
        <v>0</v>
      </c>
      <c r="J204" s="81">
        <f t="shared" si="56"/>
        <v>0</v>
      </c>
      <c r="K204" s="79"/>
      <c r="L204" s="79"/>
      <c r="M204" s="79"/>
      <c r="N204" s="79"/>
      <c r="O204" s="79"/>
      <c r="P204" s="79"/>
      <c r="Q204" s="79"/>
      <c r="R204" s="79"/>
      <c r="S204" s="79"/>
      <c r="T204" s="79"/>
      <c r="U204" s="79"/>
      <c r="V204" s="79"/>
      <c r="W204" s="79"/>
    </row>
    <row r="205" spans="1:23">
      <c r="A205" s="82" t="str">
        <f t="shared" si="55"/>
        <v>Rabi Crop</v>
      </c>
      <c r="B205" s="80"/>
      <c r="C205" s="214"/>
      <c r="D205" s="81">
        <f t="shared" si="56"/>
        <v>0</v>
      </c>
      <c r="E205" s="81">
        <f t="shared" si="56"/>
        <v>0</v>
      </c>
      <c r="F205" s="81">
        <f t="shared" si="56"/>
        <v>0</v>
      </c>
      <c r="G205" s="81">
        <f t="shared" si="56"/>
        <v>0</v>
      </c>
      <c r="H205" s="81">
        <f t="shared" si="56"/>
        <v>0</v>
      </c>
      <c r="I205" s="81">
        <f t="shared" si="56"/>
        <v>0</v>
      </c>
      <c r="J205" s="81">
        <f t="shared" si="56"/>
        <v>0</v>
      </c>
      <c r="K205" s="79"/>
      <c r="L205" s="79"/>
      <c r="M205" s="79"/>
      <c r="N205" s="79"/>
      <c r="O205" s="79"/>
      <c r="P205" s="79"/>
      <c r="Q205" s="79"/>
      <c r="R205" s="79"/>
      <c r="S205" s="79"/>
      <c r="T205" s="79"/>
      <c r="U205" s="79"/>
      <c r="V205" s="79"/>
      <c r="W205" s="79"/>
    </row>
    <row r="206" spans="1:23">
      <c r="A206" s="80">
        <f t="shared" si="55"/>
        <v>0</v>
      </c>
      <c r="B206" s="80"/>
      <c r="C206" s="214">
        <v>35</v>
      </c>
      <c r="D206" s="81">
        <f t="shared" si="56"/>
        <v>0</v>
      </c>
      <c r="E206" s="81">
        <f t="shared" si="56"/>
        <v>0</v>
      </c>
      <c r="F206" s="81">
        <f t="shared" si="56"/>
        <v>0</v>
      </c>
      <c r="G206" s="81">
        <f t="shared" si="56"/>
        <v>0</v>
      </c>
      <c r="H206" s="81">
        <f t="shared" si="56"/>
        <v>0</v>
      </c>
      <c r="I206" s="81">
        <f t="shared" si="56"/>
        <v>0</v>
      </c>
      <c r="J206" s="81">
        <f t="shared" si="56"/>
        <v>0</v>
      </c>
      <c r="K206" s="79"/>
      <c r="L206" s="79"/>
      <c r="M206" s="79"/>
      <c r="N206" s="79"/>
      <c r="O206" s="79"/>
      <c r="P206" s="79"/>
      <c r="Q206" s="79"/>
      <c r="R206" s="79"/>
      <c r="S206" s="79"/>
      <c r="T206" s="79"/>
      <c r="U206" s="79"/>
      <c r="V206" s="79"/>
      <c r="W206" s="79"/>
    </row>
    <row r="207" spans="1:23">
      <c r="A207" s="80">
        <f t="shared" si="55"/>
        <v>0</v>
      </c>
      <c r="B207" s="80"/>
      <c r="C207" s="214">
        <v>70</v>
      </c>
      <c r="D207" s="81">
        <f t="shared" ref="D207:J216" si="57">C72*$C207*D$124</f>
        <v>0</v>
      </c>
      <c r="E207" s="81">
        <f t="shared" si="57"/>
        <v>0</v>
      </c>
      <c r="F207" s="81">
        <f t="shared" si="57"/>
        <v>0</v>
      </c>
      <c r="G207" s="81">
        <f t="shared" si="57"/>
        <v>0</v>
      </c>
      <c r="H207" s="81">
        <f t="shared" si="57"/>
        <v>0</v>
      </c>
      <c r="I207" s="81">
        <f t="shared" si="57"/>
        <v>0</v>
      </c>
      <c r="J207" s="81">
        <f t="shared" si="57"/>
        <v>0</v>
      </c>
      <c r="K207" s="79"/>
      <c r="L207" s="79"/>
      <c r="M207" s="79"/>
      <c r="N207" s="79"/>
      <c r="O207" s="79"/>
      <c r="P207" s="79"/>
      <c r="Q207" s="79"/>
      <c r="R207" s="79"/>
      <c r="S207" s="79"/>
      <c r="T207" s="79"/>
      <c r="U207" s="79"/>
      <c r="V207" s="79"/>
      <c r="W207" s="79"/>
    </row>
    <row r="208" spans="1:23">
      <c r="A208" s="80">
        <f t="shared" si="55"/>
        <v>0</v>
      </c>
      <c r="B208" s="80"/>
      <c r="C208" s="214">
        <v>25</v>
      </c>
      <c r="D208" s="81">
        <f t="shared" si="57"/>
        <v>0</v>
      </c>
      <c r="E208" s="81">
        <f t="shared" si="57"/>
        <v>0</v>
      </c>
      <c r="F208" s="81">
        <f t="shared" si="57"/>
        <v>0</v>
      </c>
      <c r="G208" s="81">
        <f t="shared" si="57"/>
        <v>0</v>
      </c>
      <c r="H208" s="81">
        <f t="shared" si="57"/>
        <v>0</v>
      </c>
      <c r="I208" s="81">
        <f t="shared" si="57"/>
        <v>0</v>
      </c>
      <c r="J208" s="81">
        <f t="shared" si="57"/>
        <v>0</v>
      </c>
      <c r="K208" s="79"/>
      <c r="L208" s="79"/>
      <c r="M208" s="79"/>
      <c r="N208" s="79"/>
      <c r="O208" s="79"/>
      <c r="P208" s="79"/>
      <c r="Q208" s="79"/>
      <c r="R208" s="79"/>
      <c r="S208" s="79"/>
      <c r="T208" s="79"/>
      <c r="U208" s="79"/>
      <c r="V208" s="79"/>
      <c r="W208" s="79"/>
    </row>
    <row r="209" spans="1:23">
      <c r="A209" s="80">
        <f t="shared" si="55"/>
        <v>0</v>
      </c>
      <c r="B209" s="80"/>
      <c r="C209" s="214">
        <v>25</v>
      </c>
      <c r="D209" s="81">
        <f t="shared" si="57"/>
        <v>0</v>
      </c>
      <c r="E209" s="81">
        <f t="shared" si="57"/>
        <v>0</v>
      </c>
      <c r="F209" s="81">
        <f t="shared" si="57"/>
        <v>0</v>
      </c>
      <c r="G209" s="81">
        <f t="shared" si="57"/>
        <v>0</v>
      </c>
      <c r="H209" s="81">
        <f t="shared" si="57"/>
        <v>0</v>
      </c>
      <c r="I209" s="81">
        <f t="shared" si="57"/>
        <v>0</v>
      </c>
      <c r="J209" s="81">
        <f t="shared" si="57"/>
        <v>0</v>
      </c>
      <c r="K209" s="79"/>
      <c r="L209" s="79"/>
      <c r="M209" s="79"/>
      <c r="N209" s="79"/>
      <c r="O209" s="79"/>
      <c r="P209" s="79"/>
      <c r="Q209" s="79"/>
      <c r="R209" s="79"/>
      <c r="S209" s="79"/>
      <c r="T209" s="79"/>
      <c r="U209" s="79"/>
      <c r="V209" s="79"/>
      <c r="W209" s="79"/>
    </row>
    <row r="210" spans="1:23">
      <c r="A210" s="80">
        <f t="shared" si="55"/>
        <v>0</v>
      </c>
      <c r="B210" s="80"/>
      <c r="C210" s="214">
        <v>25</v>
      </c>
      <c r="D210" s="81">
        <f t="shared" si="57"/>
        <v>0</v>
      </c>
      <c r="E210" s="81">
        <f t="shared" si="57"/>
        <v>0</v>
      </c>
      <c r="F210" s="81">
        <f t="shared" si="57"/>
        <v>0</v>
      </c>
      <c r="G210" s="81">
        <f t="shared" si="57"/>
        <v>0</v>
      </c>
      <c r="H210" s="81">
        <f t="shared" si="57"/>
        <v>0</v>
      </c>
      <c r="I210" s="81">
        <f t="shared" si="57"/>
        <v>0</v>
      </c>
      <c r="J210" s="81">
        <f t="shared" si="57"/>
        <v>0</v>
      </c>
      <c r="K210" s="79"/>
      <c r="L210" s="79"/>
      <c r="M210" s="79"/>
      <c r="N210" s="79"/>
      <c r="O210" s="79"/>
      <c r="P210" s="79"/>
      <c r="Q210" s="79"/>
      <c r="R210" s="79"/>
      <c r="S210" s="79"/>
      <c r="T210" s="79"/>
      <c r="U210" s="79"/>
      <c r="V210" s="79"/>
      <c r="W210" s="79"/>
    </row>
    <row r="211" spans="1:23">
      <c r="A211" s="80">
        <f t="shared" si="55"/>
        <v>0</v>
      </c>
      <c r="B211" s="80"/>
      <c r="C211" s="214"/>
      <c r="D211" s="81">
        <f t="shared" si="57"/>
        <v>0</v>
      </c>
      <c r="E211" s="81">
        <f t="shared" si="57"/>
        <v>0</v>
      </c>
      <c r="F211" s="81">
        <f t="shared" si="57"/>
        <v>0</v>
      </c>
      <c r="G211" s="81">
        <f t="shared" si="57"/>
        <v>0</v>
      </c>
      <c r="H211" s="81">
        <f t="shared" si="57"/>
        <v>0</v>
      </c>
      <c r="I211" s="81">
        <f t="shared" si="57"/>
        <v>0</v>
      </c>
      <c r="J211" s="81">
        <f t="shared" si="57"/>
        <v>0</v>
      </c>
      <c r="K211" s="79"/>
      <c r="L211" s="79"/>
      <c r="M211" s="79"/>
      <c r="N211" s="79"/>
      <c r="O211" s="79"/>
      <c r="P211" s="79"/>
      <c r="Q211" s="79"/>
      <c r="R211" s="79"/>
      <c r="S211" s="79"/>
      <c r="T211" s="79"/>
      <c r="U211" s="79"/>
      <c r="V211" s="79"/>
      <c r="W211" s="79"/>
    </row>
    <row r="212" spans="1:23">
      <c r="A212" s="80">
        <f t="shared" si="55"/>
        <v>0</v>
      </c>
      <c r="B212" s="80"/>
      <c r="C212" s="214"/>
      <c r="D212" s="81">
        <f t="shared" si="57"/>
        <v>0</v>
      </c>
      <c r="E212" s="81">
        <f t="shared" si="57"/>
        <v>0</v>
      </c>
      <c r="F212" s="81">
        <f t="shared" si="57"/>
        <v>0</v>
      </c>
      <c r="G212" s="81">
        <f t="shared" si="57"/>
        <v>0</v>
      </c>
      <c r="H212" s="81">
        <f t="shared" si="57"/>
        <v>0</v>
      </c>
      <c r="I212" s="81">
        <f t="shared" si="57"/>
        <v>0</v>
      </c>
      <c r="J212" s="81">
        <f t="shared" si="57"/>
        <v>0</v>
      </c>
      <c r="K212" s="79"/>
      <c r="L212" s="79"/>
      <c r="M212" s="79"/>
      <c r="N212" s="79"/>
      <c r="O212" s="79"/>
      <c r="P212" s="79"/>
      <c r="Q212" s="79"/>
      <c r="R212" s="79"/>
      <c r="S212" s="79"/>
      <c r="T212" s="79"/>
      <c r="U212" s="79"/>
      <c r="V212" s="79"/>
      <c r="W212" s="79"/>
    </row>
    <row r="213" spans="1:23">
      <c r="A213" s="80">
        <f t="shared" si="55"/>
        <v>0</v>
      </c>
      <c r="B213" s="80"/>
      <c r="C213" s="214"/>
      <c r="D213" s="81">
        <f t="shared" si="57"/>
        <v>0</v>
      </c>
      <c r="E213" s="81">
        <f t="shared" si="57"/>
        <v>0</v>
      </c>
      <c r="F213" s="81">
        <f t="shared" si="57"/>
        <v>0</v>
      </c>
      <c r="G213" s="81">
        <f t="shared" si="57"/>
        <v>0</v>
      </c>
      <c r="H213" s="81">
        <f t="shared" si="57"/>
        <v>0</v>
      </c>
      <c r="I213" s="81">
        <f t="shared" si="57"/>
        <v>0</v>
      </c>
      <c r="J213" s="81">
        <f t="shared" si="57"/>
        <v>0</v>
      </c>
      <c r="K213" s="79"/>
      <c r="L213" s="79"/>
      <c r="M213" s="79"/>
      <c r="N213" s="79"/>
      <c r="O213" s="79"/>
      <c r="P213" s="79"/>
      <c r="Q213" s="79"/>
      <c r="R213" s="79"/>
      <c r="S213" s="79"/>
      <c r="T213" s="79"/>
      <c r="U213" s="79"/>
      <c r="V213" s="79"/>
      <c r="W213" s="79"/>
    </row>
    <row r="214" spans="1:23">
      <c r="A214" s="80">
        <f t="shared" si="55"/>
        <v>0</v>
      </c>
      <c r="B214" s="80"/>
      <c r="C214" s="214"/>
      <c r="D214" s="81">
        <f t="shared" si="57"/>
        <v>0</v>
      </c>
      <c r="E214" s="81">
        <f t="shared" si="57"/>
        <v>0</v>
      </c>
      <c r="F214" s="81">
        <f t="shared" si="57"/>
        <v>0</v>
      </c>
      <c r="G214" s="81">
        <f t="shared" si="57"/>
        <v>0</v>
      </c>
      <c r="H214" s="81">
        <f t="shared" si="57"/>
        <v>0</v>
      </c>
      <c r="I214" s="81">
        <f t="shared" si="57"/>
        <v>0</v>
      </c>
      <c r="J214" s="81">
        <f t="shared" si="57"/>
        <v>0</v>
      </c>
      <c r="K214" s="79"/>
      <c r="L214" s="79"/>
      <c r="M214" s="79"/>
      <c r="N214" s="79"/>
      <c r="O214" s="79"/>
      <c r="P214" s="79"/>
      <c r="Q214" s="79"/>
      <c r="R214" s="79"/>
      <c r="S214" s="79"/>
      <c r="T214" s="79"/>
      <c r="U214" s="79"/>
      <c r="V214" s="79"/>
      <c r="W214" s="79"/>
    </row>
    <row r="215" spans="1:23">
      <c r="A215" s="80">
        <f t="shared" si="55"/>
        <v>0</v>
      </c>
      <c r="B215" s="80"/>
      <c r="C215" s="214"/>
      <c r="D215" s="81">
        <f t="shared" si="57"/>
        <v>0</v>
      </c>
      <c r="E215" s="81">
        <f t="shared" si="57"/>
        <v>0</v>
      </c>
      <c r="F215" s="81">
        <f t="shared" si="57"/>
        <v>0</v>
      </c>
      <c r="G215" s="81">
        <f t="shared" si="57"/>
        <v>0</v>
      </c>
      <c r="H215" s="81">
        <f t="shared" si="57"/>
        <v>0</v>
      </c>
      <c r="I215" s="81">
        <f t="shared" si="57"/>
        <v>0</v>
      </c>
      <c r="J215" s="81">
        <f t="shared" si="57"/>
        <v>0</v>
      </c>
      <c r="K215" s="79"/>
      <c r="L215" s="79"/>
      <c r="M215" s="79"/>
      <c r="N215" s="79"/>
      <c r="O215" s="79"/>
      <c r="P215" s="79"/>
      <c r="Q215" s="79"/>
      <c r="R215" s="79"/>
      <c r="S215" s="79"/>
      <c r="T215" s="79"/>
      <c r="U215" s="79"/>
      <c r="V215" s="79"/>
      <c r="W215" s="79"/>
    </row>
    <row r="216" spans="1:23">
      <c r="A216" s="80">
        <f t="shared" si="55"/>
        <v>0</v>
      </c>
      <c r="B216" s="80"/>
      <c r="C216" s="214"/>
      <c r="D216" s="81">
        <f t="shared" si="57"/>
        <v>0</v>
      </c>
      <c r="E216" s="81">
        <f t="shared" si="57"/>
        <v>0</v>
      </c>
      <c r="F216" s="81">
        <f t="shared" si="57"/>
        <v>0</v>
      </c>
      <c r="G216" s="81">
        <f t="shared" si="57"/>
        <v>0</v>
      </c>
      <c r="H216" s="81">
        <f t="shared" si="57"/>
        <v>0</v>
      </c>
      <c r="I216" s="81">
        <f t="shared" si="57"/>
        <v>0</v>
      </c>
      <c r="J216" s="81">
        <f t="shared" si="57"/>
        <v>0</v>
      </c>
      <c r="K216" s="79"/>
      <c r="L216" s="79"/>
      <c r="M216" s="79"/>
      <c r="N216" s="79"/>
      <c r="O216" s="79"/>
      <c r="P216" s="79"/>
      <c r="Q216" s="79"/>
      <c r="R216" s="79"/>
      <c r="S216" s="79"/>
      <c r="T216" s="79"/>
      <c r="U216" s="79"/>
      <c r="V216" s="79"/>
      <c r="W216" s="79"/>
    </row>
    <row r="217" spans="1:23">
      <c r="A217" s="80">
        <f t="shared" si="55"/>
        <v>0</v>
      </c>
      <c r="B217" s="80"/>
      <c r="C217" s="214"/>
      <c r="D217" s="81">
        <f t="shared" ref="D217:J219" si="58">C82*$C217*D$124</f>
        <v>0</v>
      </c>
      <c r="E217" s="81">
        <f t="shared" si="58"/>
        <v>0</v>
      </c>
      <c r="F217" s="81">
        <f t="shared" si="58"/>
        <v>0</v>
      </c>
      <c r="G217" s="81">
        <f t="shared" si="58"/>
        <v>0</v>
      </c>
      <c r="H217" s="81">
        <f t="shared" si="58"/>
        <v>0</v>
      </c>
      <c r="I217" s="81">
        <f t="shared" si="58"/>
        <v>0</v>
      </c>
      <c r="J217" s="81">
        <f t="shared" si="58"/>
        <v>0</v>
      </c>
      <c r="K217" s="79"/>
      <c r="L217" s="79"/>
      <c r="M217" s="79"/>
      <c r="N217" s="79"/>
      <c r="O217" s="79"/>
      <c r="P217" s="79"/>
      <c r="Q217" s="79"/>
      <c r="R217" s="79"/>
      <c r="S217" s="79"/>
      <c r="T217" s="79"/>
      <c r="U217" s="79"/>
      <c r="V217" s="79"/>
      <c r="W217" s="79"/>
    </row>
    <row r="218" spans="1:23">
      <c r="A218" s="80">
        <f t="shared" si="55"/>
        <v>0</v>
      </c>
      <c r="B218" s="80"/>
      <c r="C218" s="214"/>
      <c r="D218" s="81">
        <f t="shared" si="58"/>
        <v>0</v>
      </c>
      <c r="E218" s="81">
        <f t="shared" si="58"/>
        <v>0</v>
      </c>
      <c r="F218" s="81">
        <f t="shared" si="58"/>
        <v>0</v>
      </c>
      <c r="G218" s="81">
        <f t="shared" si="58"/>
        <v>0</v>
      </c>
      <c r="H218" s="81">
        <f t="shared" si="58"/>
        <v>0</v>
      </c>
      <c r="I218" s="81">
        <f t="shared" si="58"/>
        <v>0</v>
      </c>
      <c r="J218" s="81">
        <f t="shared" si="58"/>
        <v>0</v>
      </c>
      <c r="K218" s="79"/>
      <c r="L218" s="79"/>
      <c r="M218" s="79"/>
      <c r="N218" s="79"/>
      <c r="O218" s="79"/>
      <c r="P218" s="79"/>
      <c r="Q218" s="79"/>
      <c r="R218" s="79"/>
      <c r="S218" s="79"/>
      <c r="T218" s="79"/>
      <c r="U218" s="79"/>
      <c r="V218" s="79"/>
      <c r="W218" s="79"/>
    </row>
    <row r="219" spans="1:23">
      <c r="A219" s="80">
        <f t="shared" si="55"/>
        <v>0</v>
      </c>
      <c r="B219" s="80"/>
      <c r="C219" s="214"/>
      <c r="D219" s="81">
        <f t="shared" si="58"/>
        <v>0</v>
      </c>
      <c r="E219" s="81">
        <f t="shared" si="58"/>
        <v>0</v>
      </c>
      <c r="F219" s="81">
        <f t="shared" si="58"/>
        <v>0</v>
      </c>
      <c r="G219" s="81">
        <f t="shared" si="58"/>
        <v>0</v>
      </c>
      <c r="H219" s="81">
        <f t="shared" si="58"/>
        <v>0</v>
      </c>
      <c r="I219" s="81">
        <f t="shared" si="58"/>
        <v>0</v>
      </c>
      <c r="J219" s="81">
        <f t="shared" si="58"/>
        <v>0</v>
      </c>
      <c r="K219" s="79"/>
      <c r="L219" s="79"/>
      <c r="M219" s="79"/>
      <c r="N219" s="79"/>
      <c r="O219" s="79"/>
      <c r="P219" s="79"/>
      <c r="Q219" s="79"/>
      <c r="R219" s="79"/>
      <c r="S219" s="79"/>
      <c r="T219" s="79"/>
      <c r="U219" s="79"/>
      <c r="V219" s="79"/>
      <c r="W219" s="79"/>
    </row>
    <row r="220" spans="1:23">
      <c r="A220" s="80" t="str">
        <f t="shared" si="55"/>
        <v>Grains Crops and  Production Details</v>
      </c>
      <c r="B220" s="80"/>
      <c r="C220" s="81"/>
      <c r="D220" s="81"/>
      <c r="E220" s="81"/>
      <c r="F220" s="81"/>
      <c r="G220" s="81"/>
      <c r="H220" s="81"/>
      <c r="I220" s="81"/>
      <c r="J220" s="81"/>
      <c r="K220" s="79"/>
      <c r="L220" s="79"/>
      <c r="M220" s="79"/>
      <c r="N220" s="79"/>
      <c r="O220" s="79"/>
      <c r="P220" s="79"/>
      <c r="Q220" s="79"/>
      <c r="R220" s="79"/>
      <c r="S220" s="79"/>
      <c r="T220" s="79"/>
      <c r="U220" s="79"/>
      <c r="V220" s="79"/>
      <c r="W220" s="79"/>
    </row>
    <row r="221" spans="1:23">
      <c r="A221" s="80">
        <f t="shared" si="55"/>
        <v>0</v>
      </c>
      <c r="B221" s="80"/>
      <c r="C221" s="214"/>
      <c r="D221" s="81">
        <f t="shared" ref="D221:J230" si="59">C86*$C221*D$124</f>
        <v>0</v>
      </c>
      <c r="E221" s="81">
        <f t="shared" si="59"/>
        <v>0</v>
      </c>
      <c r="F221" s="81">
        <f t="shared" si="59"/>
        <v>0</v>
      </c>
      <c r="G221" s="81">
        <f t="shared" si="59"/>
        <v>0</v>
      </c>
      <c r="H221" s="81">
        <f t="shared" si="59"/>
        <v>0</v>
      </c>
      <c r="I221" s="81">
        <f t="shared" si="59"/>
        <v>0</v>
      </c>
      <c r="J221" s="81">
        <f t="shared" si="59"/>
        <v>0</v>
      </c>
      <c r="K221" s="79"/>
      <c r="L221" s="79"/>
      <c r="M221" s="79"/>
      <c r="N221" s="79"/>
      <c r="O221" s="79"/>
      <c r="P221" s="79"/>
      <c r="Q221" s="79"/>
      <c r="R221" s="79"/>
      <c r="S221" s="79"/>
      <c r="T221" s="79"/>
      <c r="U221" s="79"/>
      <c r="V221" s="79"/>
      <c r="W221" s="79"/>
    </row>
    <row r="222" spans="1:23">
      <c r="A222" s="80" t="e">
        <f t="shared" si="55"/>
        <v>#REF!</v>
      </c>
      <c r="B222" s="80"/>
      <c r="C222" s="214"/>
      <c r="D222" s="81" t="e">
        <f t="shared" si="59"/>
        <v>#REF!</v>
      </c>
      <c r="E222" s="81" t="e">
        <f t="shared" si="59"/>
        <v>#REF!</v>
      </c>
      <c r="F222" s="81" t="e">
        <f t="shared" si="59"/>
        <v>#REF!</v>
      </c>
      <c r="G222" s="81" t="e">
        <f t="shared" si="59"/>
        <v>#REF!</v>
      </c>
      <c r="H222" s="81" t="e">
        <f t="shared" si="59"/>
        <v>#REF!</v>
      </c>
      <c r="I222" s="81" t="e">
        <f t="shared" si="59"/>
        <v>#REF!</v>
      </c>
      <c r="J222" s="81" t="e">
        <f t="shared" si="59"/>
        <v>#REF!</v>
      </c>
      <c r="K222" s="79"/>
      <c r="L222" s="79"/>
      <c r="M222" s="79"/>
      <c r="N222" s="79"/>
      <c r="O222" s="79"/>
      <c r="P222" s="79"/>
      <c r="Q222" s="79"/>
      <c r="R222" s="79"/>
      <c r="S222" s="79"/>
      <c r="T222" s="79"/>
      <c r="U222" s="79"/>
      <c r="V222" s="79"/>
      <c r="W222" s="79"/>
    </row>
    <row r="223" spans="1:23">
      <c r="A223" s="80" t="e">
        <f t="shared" si="55"/>
        <v>#REF!</v>
      </c>
      <c r="B223" s="80"/>
      <c r="C223" s="214"/>
      <c r="D223" s="81" t="e">
        <f t="shared" si="59"/>
        <v>#REF!</v>
      </c>
      <c r="E223" s="81" t="e">
        <f t="shared" si="59"/>
        <v>#REF!</v>
      </c>
      <c r="F223" s="81" t="e">
        <f t="shared" si="59"/>
        <v>#REF!</v>
      </c>
      <c r="G223" s="81" t="e">
        <f t="shared" si="59"/>
        <v>#REF!</v>
      </c>
      <c r="H223" s="81" t="e">
        <f t="shared" si="59"/>
        <v>#REF!</v>
      </c>
      <c r="I223" s="81" t="e">
        <f t="shared" si="59"/>
        <v>#REF!</v>
      </c>
      <c r="J223" s="81" t="e">
        <f t="shared" si="59"/>
        <v>#REF!</v>
      </c>
      <c r="K223" s="79"/>
      <c r="L223" s="79"/>
      <c r="M223" s="79"/>
      <c r="N223" s="79"/>
      <c r="O223" s="79"/>
      <c r="P223" s="79"/>
      <c r="Q223" s="79"/>
      <c r="R223" s="79"/>
      <c r="S223" s="79"/>
      <c r="T223" s="79"/>
      <c r="U223" s="79"/>
      <c r="V223" s="79"/>
      <c r="W223" s="79"/>
    </row>
    <row r="224" spans="1:23">
      <c r="A224" s="80" t="str">
        <f t="shared" si="55"/>
        <v xml:space="preserve">Safflower Seed </v>
      </c>
      <c r="B224" s="80"/>
      <c r="C224" s="214"/>
      <c r="D224" s="81">
        <f t="shared" si="59"/>
        <v>0</v>
      </c>
      <c r="E224" s="81">
        <f t="shared" si="59"/>
        <v>0</v>
      </c>
      <c r="F224" s="81">
        <f t="shared" si="59"/>
        <v>0</v>
      </c>
      <c r="G224" s="81">
        <f t="shared" si="59"/>
        <v>0</v>
      </c>
      <c r="H224" s="81">
        <f t="shared" si="59"/>
        <v>0</v>
      </c>
      <c r="I224" s="81">
        <f t="shared" si="59"/>
        <v>0</v>
      </c>
      <c r="J224" s="81">
        <f t="shared" si="59"/>
        <v>0</v>
      </c>
      <c r="K224" s="79"/>
      <c r="L224" s="79"/>
      <c r="M224" s="79"/>
      <c r="N224" s="79"/>
      <c r="O224" s="79"/>
      <c r="P224" s="79"/>
      <c r="Q224" s="79"/>
      <c r="R224" s="79"/>
      <c r="S224" s="79"/>
      <c r="T224" s="79"/>
      <c r="U224" s="79"/>
      <c r="V224" s="79"/>
      <c r="W224" s="79"/>
    </row>
    <row r="225" spans="1:23">
      <c r="A225" s="80" t="e">
        <f t="shared" si="55"/>
        <v>#REF!</v>
      </c>
      <c r="B225" s="80"/>
      <c r="C225" s="214"/>
      <c r="D225" s="81" t="e">
        <f t="shared" si="59"/>
        <v>#REF!</v>
      </c>
      <c r="E225" s="81" t="e">
        <f t="shared" si="59"/>
        <v>#REF!</v>
      </c>
      <c r="F225" s="81" t="e">
        <f t="shared" si="59"/>
        <v>#REF!</v>
      </c>
      <c r="G225" s="81" t="e">
        <f t="shared" si="59"/>
        <v>#REF!</v>
      </c>
      <c r="H225" s="81" t="e">
        <f t="shared" si="59"/>
        <v>#REF!</v>
      </c>
      <c r="I225" s="81" t="e">
        <f t="shared" si="59"/>
        <v>#REF!</v>
      </c>
      <c r="J225" s="81" t="e">
        <f t="shared" si="59"/>
        <v>#REF!</v>
      </c>
      <c r="K225" s="79"/>
      <c r="L225" s="79"/>
      <c r="M225" s="79"/>
      <c r="N225" s="79"/>
      <c r="O225" s="79"/>
      <c r="P225" s="79"/>
      <c r="Q225" s="79"/>
      <c r="R225" s="79"/>
      <c r="S225" s="79"/>
      <c r="T225" s="79"/>
      <c r="U225" s="79"/>
      <c r="V225" s="79"/>
      <c r="W225" s="79"/>
    </row>
    <row r="226" spans="1:23">
      <c r="A226" s="80" t="e">
        <f t="shared" si="55"/>
        <v>#REF!</v>
      </c>
      <c r="B226" s="80"/>
      <c r="C226" s="214"/>
      <c r="D226" s="81" t="e">
        <f t="shared" si="59"/>
        <v>#REF!</v>
      </c>
      <c r="E226" s="81" t="e">
        <f t="shared" si="59"/>
        <v>#REF!</v>
      </c>
      <c r="F226" s="81" t="e">
        <f t="shared" si="59"/>
        <v>#REF!</v>
      </c>
      <c r="G226" s="81" t="e">
        <f t="shared" si="59"/>
        <v>#REF!</v>
      </c>
      <c r="H226" s="81" t="e">
        <f t="shared" si="59"/>
        <v>#REF!</v>
      </c>
      <c r="I226" s="81" t="e">
        <f t="shared" si="59"/>
        <v>#REF!</v>
      </c>
      <c r="J226" s="81" t="e">
        <f t="shared" si="59"/>
        <v>#REF!</v>
      </c>
      <c r="K226" s="79"/>
      <c r="L226" s="79"/>
      <c r="M226" s="79"/>
      <c r="N226" s="79"/>
      <c r="O226" s="79"/>
      <c r="P226" s="79"/>
      <c r="Q226" s="79"/>
      <c r="R226" s="79"/>
      <c r="S226" s="79"/>
      <c r="T226" s="79"/>
      <c r="U226" s="79"/>
      <c r="V226" s="79"/>
      <c r="W226" s="79"/>
    </row>
    <row r="227" spans="1:23">
      <c r="A227" s="80" t="e">
        <f t="shared" si="55"/>
        <v>#REF!</v>
      </c>
      <c r="B227" s="80"/>
      <c r="C227" s="214"/>
      <c r="D227" s="81" t="e">
        <f t="shared" si="59"/>
        <v>#REF!</v>
      </c>
      <c r="E227" s="81" t="e">
        <f t="shared" si="59"/>
        <v>#REF!</v>
      </c>
      <c r="F227" s="81" t="e">
        <f t="shared" si="59"/>
        <v>#REF!</v>
      </c>
      <c r="G227" s="81" t="e">
        <f t="shared" si="59"/>
        <v>#REF!</v>
      </c>
      <c r="H227" s="81" t="e">
        <f t="shared" si="59"/>
        <v>#REF!</v>
      </c>
      <c r="I227" s="81" t="e">
        <f t="shared" si="59"/>
        <v>#REF!</v>
      </c>
      <c r="J227" s="81" t="e">
        <f t="shared" si="59"/>
        <v>#REF!</v>
      </c>
      <c r="K227" s="79"/>
      <c r="L227" s="79"/>
      <c r="M227" s="79"/>
      <c r="N227" s="79"/>
      <c r="O227" s="79"/>
      <c r="P227" s="79"/>
      <c r="Q227" s="79"/>
      <c r="R227" s="79"/>
      <c r="S227" s="79"/>
      <c r="T227" s="79"/>
      <c r="U227" s="79"/>
      <c r="V227" s="79"/>
      <c r="W227" s="79"/>
    </row>
    <row r="228" spans="1:23">
      <c r="A228" s="80" t="e">
        <f t="shared" si="55"/>
        <v>#REF!</v>
      </c>
      <c r="B228" s="80"/>
      <c r="C228" s="214"/>
      <c r="D228" s="81" t="e">
        <f t="shared" si="59"/>
        <v>#REF!</v>
      </c>
      <c r="E228" s="81" t="e">
        <f t="shared" si="59"/>
        <v>#REF!</v>
      </c>
      <c r="F228" s="81" t="e">
        <f t="shared" si="59"/>
        <v>#REF!</v>
      </c>
      <c r="G228" s="81" t="e">
        <f t="shared" si="59"/>
        <v>#REF!</v>
      </c>
      <c r="H228" s="81" t="e">
        <f t="shared" si="59"/>
        <v>#REF!</v>
      </c>
      <c r="I228" s="81" t="e">
        <f t="shared" si="59"/>
        <v>#REF!</v>
      </c>
      <c r="J228" s="81" t="e">
        <f t="shared" si="59"/>
        <v>#REF!</v>
      </c>
      <c r="K228" s="79"/>
      <c r="L228" s="79"/>
      <c r="M228" s="79"/>
      <c r="N228" s="79"/>
      <c r="O228" s="79"/>
      <c r="P228" s="79"/>
      <c r="Q228" s="79"/>
      <c r="R228" s="79"/>
      <c r="S228" s="79"/>
      <c r="T228" s="79"/>
      <c r="U228" s="79"/>
      <c r="V228" s="79"/>
      <c r="W228" s="79"/>
    </row>
    <row r="229" spans="1:23">
      <c r="A229" s="80" t="e">
        <f t="shared" si="55"/>
        <v>#REF!</v>
      </c>
      <c r="B229" s="80"/>
      <c r="C229" s="214"/>
      <c r="D229" s="81" t="e">
        <f t="shared" si="59"/>
        <v>#REF!</v>
      </c>
      <c r="E229" s="81" t="e">
        <f t="shared" si="59"/>
        <v>#REF!</v>
      </c>
      <c r="F229" s="81" t="e">
        <f t="shared" si="59"/>
        <v>#REF!</v>
      </c>
      <c r="G229" s="81" t="e">
        <f t="shared" si="59"/>
        <v>#REF!</v>
      </c>
      <c r="H229" s="81" t="e">
        <f t="shared" si="59"/>
        <v>#REF!</v>
      </c>
      <c r="I229" s="81" t="e">
        <f t="shared" si="59"/>
        <v>#REF!</v>
      </c>
      <c r="J229" s="81" t="e">
        <f t="shared" si="59"/>
        <v>#REF!</v>
      </c>
      <c r="K229" s="79"/>
      <c r="L229" s="79"/>
      <c r="M229" s="79"/>
      <c r="N229" s="79"/>
      <c r="O229" s="79"/>
      <c r="P229" s="79"/>
      <c r="Q229" s="79"/>
      <c r="R229" s="79"/>
      <c r="S229" s="79"/>
      <c r="T229" s="79"/>
      <c r="U229" s="79"/>
      <c r="V229" s="79"/>
      <c r="W229" s="79"/>
    </row>
    <row r="230" spans="1:23">
      <c r="A230" s="80" t="e">
        <f t="shared" si="55"/>
        <v>#REF!</v>
      </c>
      <c r="B230" s="80"/>
      <c r="C230" s="214"/>
      <c r="D230" s="81" t="e">
        <f t="shared" si="59"/>
        <v>#REF!</v>
      </c>
      <c r="E230" s="81" t="e">
        <f t="shared" si="59"/>
        <v>#REF!</v>
      </c>
      <c r="F230" s="81" t="e">
        <f t="shared" si="59"/>
        <v>#REF!</v>
      </c>
      <c r="G230" s="81" t="e">
        <f t="shared" si="59"/>
        <v>#REF!</v>
      </c>
      <c r="H230" s="81" t="e">
        <f t="shared" si="59"/>
        <v>#REF!</v>
      </c>
      <c r="I230" s="81" t="e">
        <f t="shared" si="59"/>
        <v>#REF!</v>
      </c>
      <c r="J230" s="81" t="e">
        <f t="shared" si="59"/>
        <v>#REF!</v>
      </c>
      <c r="K230" s="79"/>
      <c r="L230" s="79"/>
      <c r="M230" s="79"/>
      <c r="N230" s="79"/>
      <c r="O230" s="79"/>
      <c r="P230" s="79"/>
      <c r="Q230" s="79"/>
      <c r="R230" s="79"/>
      <c r="S230" s="79"/>
      <c r="T230" s="79"/>
      <c r="U230" s="79"/>
      <c r="V230" s="79"/>
      <c r="W230" s="79"/>
    </row>
    <row r="231" spans="1:23">
      <c r="A231" s="80" t="e">
        <f t="shared" si="55"/>
        <v>#REF!</v>
      </c>
      <c r="B231" s="80"/>
      <c r="C231" s="214"/>
      <c r="D231" s="81" t="e">
        <f t="shared" ref="D231:J238" si="60">C96*$C231*D$124</f>
        <v>#REF!</v>
      </c>
      <c r="E231" s="81" t="e">
        <f t="shared" si="60"/>
        <v>#REF!</v>
      </c>
      <c r="F231" s="81" t="e">
        <f t="shared" si="60"/>
        <v>#REF!</v>
      </c>
      <c r="G231" s="81" t="e">
        <f t="shared" si="60"/>
        <v>#REF!</v>
      </c>
      <c r="H231" s="81" t="e">
        <f t="shared" si="60"/>
        <v>#REF!</v>
      </c>
      <c r="I231" s="81" t="e">
        <f t="shared" si="60"/>
        <v>#REF!</v>
      </c>
      <c r="J231" s="81" t="e">
        <f t="shared" si="60"/>
        <v>#REF!</v>
      </c>
      <c r="K231" s="79"/>
      <c r="L231" s="79"/>
      <c r="M231" s="79"/>
      <c r="N231" s="79"/>
      <c r="O231" s="79"/>
      <c r="P231" s="79"/>
      <c r="Q231" s="79"/>
      <c r="R231" s="79"/>
      <c r="S231" s="79"/>
      <c r="T231" s="79"/>
      <c r="U231" s="79"/>
      <c r="V231" s="79"/>
      <c r="W231" s="79"/>
    </row>
    <row r="232" spans="1:23">
      <c r="A232" s="80" t="e">
        <f t="shared" si="55"/>
        <v>#REF!</v>
      </c>
      <c r="B232" s="80"/>
      <c r="C232" s="214"/>
      <c r="D232" s="81" t="e">
        <f t="shared" si="60"/>
        <v>#REF!</v>
      </c>
      <c r="E232" s="81" t="e">
        <f t="shared" si="60"/>
        <v>#REF!</v>
      </c>
      <c r="F232" s="81" t="e">
        <f t="shared" si="60"/>
        <v>#REF!</v>
      </c>
      <c r="G232" s="81" t="e">
        <f t="shared" si="60"/>
        <v>#REF!</v>
      </c>
      <c r="H232" s="81" t="e">
        <f t="shared" si="60"/>
        <v>#REF!</v>
      </c>
      <c r="I232" s="81" t="e">
        <f t="shared" si="60"/>
        <v>#REF!</v>
      </c>
      <c r="J232" s="81" t="e">
        <f t="shared" si="60"/>
        <v>#REF!</v>
      </c>
      <c r="K232" s="79"/>
      <c r="L232" s="79"/>
      <c r="M232" s="79"/>
      <c r="N232" s="79"/>
      <c r="O232" s="79"/>
      <c r="P232" s="79"/>
      <c r="Q232" s="79"/>
      <c r="R232" s="79"/>
      <c r="S232" s="79"/>
      <c r="T232" s="79"/>
      <c r="U232" s="79"/>
      <c r="V232" s="79"/>
      <c r="W232" s="79"/>
    </row>
    <row r="233" spans="1:23">
      <c r="A233" s="80" t="e">
        <f t="shared" si="55"/>
        <v>#REF!</v>
      </c>
      <c r="B233" s="80"/>
      <c r="C233" s="214"/>
      <c r="D233" s="81" t="e">
        <f t="shared" si="60"/>
        <v>#REF!</v>
      </c>
      <c r="E233" s="81" t="e">
        <f t="shared" si="60"/>
        <v>#REF!</v>
      </c>
      <c r="F233" s="81" t="e">
        <f t="shared" si="60"/>
        <v>#REF!</v>
      </c>
      <c r="G233" s="81" t="e">
        <f t="shared" si="60"/>
        <v>#REF!</v>
      </c>
      <c r="H233" s="81" t="e">
        <f t="shared" si="60"/>
        <v>#REF!</v>
      </c>
      <c r="I233" s="81" t="e">
        <f t="shared" si="60"/>
        <v>#REF!</v>
      </c>
      <c r="J233" s="81" t="e">
        <f t="shared" si="60"/>
        <v>#REF!</v>
      </c>
      <c r="K233" s="79"/>
      <c r="L233" s="79"/>
      <c r="M233" s="79"/>
      <c r="N233" s="79"/>
      <c r="O233" s="79"/>
      <c r="P233" s="79"/>
      <c r="Q233" s="79"/>
      <c r="R233" s="79"/>
      <c r="S233" s="79"/>
      <c r="T233" s="79"/>
      <c r="U233" s="79"/>
      <c r="V233" s="79"/>
      <c r="W233" s="79"/>
    </row>
    <row r="234" spans="1:23">
      <c r="A234" s="80" t="e">
        <f t="shared" si="55"/>
        <v>#REF!</v>
      </c>
      <c r="B234" s="80"/>
      <c r="C234" s="214"/>
      <c r="D234" s="81" t="e">
        <f t="shared" si="60"/>
        <v>#REF!</v>
      </c>
      <c r="E234" s="81" t="e">
        <f t="shared" si="60"/>
        <v>#REF!</v>
      </c>
      <c r="F234" s="81" t="e">
        <f t="shared" si="60"/>
        <v>#REF!</v>
      </c>
      <c r="G234" s="81" t="e">
        <f t="shared" si="60"/>
        <v>#REF!</v>
      </c>
      <c r="H234" s="81" t="e">
        <f t="shared" si="60"/>
        <v>#REF!</v>
      </c>
      <c r="I234" s="81" t="e">
        <f t="shared" si="60"/>
        <v>#REF!</v>
      </c>
      <c r="J234" s="81" t="e">
        <f t="shared" si="60"/>
        <v>#REF!</v>
      </c>
      <c r="K234" s="79"/>
      <c r="L234" s="79"/>
      <c r="M234" s="79"/>
      <c r="N234" s="79"/>
      <c r="O234" s="79"/>
      <c r="P234" s="79"/>
      <c r="Q234" s="79"/>
      <c r="R234" s="79"/>
      <c r="S234" s="79"/>
      <c r="T234" s="79"/>
      <c r="U234" s="79"/>
      <c r="V234" s="79"/>
      <c r="W234" s="79"/>
    </row>
    <row r="235" spans="1:23">
      <c r="A235" s="80" t="e">
        <f t="shared" si="55"/>
        <v>#REF!</v>
      </c>
      <c r="B235" s="80"/>
      <c r="C235" s="214"/>
      <c r="D235" s="81" t="e">
        <f t="shared" si="60"/>
        <v>#REF!</v>
      </c>
      <c r="E235" s="81" t="e">
        <f t="shared" si="60"/>
        <v>#REF!</v>
      </c>
      <c r="F235" s="81" t="e">
        <f t="shared" si="60"/>
        <v>#REF!</v>
      </c>
      <c r="G235" s="81" t="e">
        <f t="shared" si="60"/>
        <v>#REF!</v>
      </c>
      <c r="H235" s="81" t="e">
        <f t="shared" si="60"/>
        <v>#REF!</v>
      </c>
      <c r="I235" s="81" t="e">
        <f t="shared" si="60"/>
        <v>#REF!</v>
      </c>
      <c r="J235" s="81" t="e">
        <f t="shared" si="60"/>
        <v>#REF!</v>
      </c>
      <c r="K235" s="79"/>
      <c r="L235" s="79"/>
      <c r="M235" s="79"/>
      <c r="N235" s="79"/>
      <c r="O235" s="79"/>
      <c r="P235" s="79"/>
      <c r="Q235" s="79"/>
      <c r="R235" s="79"/>
      <c r="S235" s="79"/>
      <c r="T235" s="79"/>
      <c r="U235" s="79"/>
      <c r="V235" s="79"/>
      <c r="W235" s="79"/>
    </row>
    <row r="236" spans="1:23">
      <c r="A236" s="80" t="e">
        <f t="shared" si="55"/>
        <v>#REF!</v>
      </c>
      <c r="B236" s="80"/>
      <c r="C236" s="214"/>
      <c r="D236" s="81" t="e">
        <f t="shared" si="60"/>
        <v>#REF!</v>
      </c>
      <c r="E236" s="81" t="e">
        <f t="shared" si="60"/>
        <v>#REF!</v>
      </c>
      <c r="F236" s="81" t="e">
        <f t="shared" si="60"/>
        <v>#REF!</v>
      </c>
      <c r="G236" s="81" t="e">
        <f t="shared" si="60"/>
        <v>#REF!</v>
      </c>
      <c r="H236" s="81" t="e">
        <f t="shared" si="60"/>
        <v>#REF!</v>
      </c>
      <c r="I236" s="81" t="e">
        <f t="shared" si="60"/>
        <v>#REF!</v>
      </c>
      <c r="J236" s="81" t="e">
        <f t="shared" si="60"/>
        <v>#REF!</v>
      </c>
      <c r="K236" s="79"/>
      <c r="L236" s="79"/>
      <c r="M236" s="79"/>
      <c r="N236" s="79"/>
      <c r="O236" s="79"/>
      <c r="P236" s="79"/>
      <c r="Q236" s="79"/>
      <c r="R236" s="79"/>
      <c r="S236" s="79"/>
      <c r="T236" s="79"/>
      <c r="U236" s="79"/>
      <c r="V236" s="79"/>
      <c r="W236" s="79"/>
    </row>
    <row r="237" spans="1:23">
      <c r="A237" s="80" t="e">
        <f t="shared" si="55"/>
        <v>#REF!</v>
      </c>
      <c r="B237" s="80"/>
      <c r="C237" s="214"/>
      <c r="D237" s="81" t="e">
        <f t="shared" si="60"/>
        <v>#REF!</v>
      </c>
      <c r="E237" s="81" t="e">
        <f t="shared" si="60"/>
        <v>#REF!</v>
      </c>
      <c r="F237" s="81" t="e">
        <f t="shared" si="60"/>
        <v>#REF!</v>
      </c>
      <c r="G237" s="81" t="e">
        <f t="shared" si="60"/>
        <v>#REF!</v>
      </c>
      <c r="H237" s="81" t="e">
        <f t="shared" si="60"/>
        <v>#REF!</v>
      </c>
      <c r="I237" s="81" t="e">
        <f t="shared" si="60"/>
        <v>#REF!</v>
      </c>
      <c r="J237" s="81" t="e">
        <f t="shared" si="60"/>
        <v>#REF!</v>
      </c>
      <c r="K237" s="79"/>
      <c r="L237" s="79"/>
      <c r="M237" s="79"/>
      <c r="N237" s="79"/>
      <c r="O237" s="79"/>
      <c r="P237" s="79"/>
      <c r="Q237" s="79"/>
      <c r="R237" s="79"/>
      <c r="S237" s="79"/>
      <c r="T237" s="79"/>
      <c r="U237" s="79"/>
      <c r="V237" s="79"/>
      <c r="W237" s="79"/>
    </row>
    <row r="238" spans="1:23">
      <c r="A238" s="80" t="e">
        <f t="shared" si="55"/>
        <v>#REF!</v>
      </c>
      <c r="B238" s="80"/>
      <c r="C238" s="214"/>
      <c r="D238" s="81" t="e">
        <f t="shared" si="60"/>
        <v>#REF!</v>
      </c>
      <c r="E238" s="81" t="e">
        <f t="shared" si="60"/>
        <v>#REF!</v>
      </c>
      <c r="F238" s="81" t="e">
        <f t="shared" si="60"/>
        <v>#REF!</v>
      </c>
      <c r="G238" s="81" t="e">
        <f t="shared" si="60"/>
        <v>#REF!</v>
      </c>
      <c r="H238" s="81" t="e">
        <f t="shared" si="60"/>
        <v>#REF!</v>
      </c>
      <c r="I238" s="81" t="e">
        <f t="shared" si="60"/>
        <v>#REF!</v>
      </c>
      <c r="J238" s="81" t="e">
        <f t="shared" si="60"/>
        <v>#REF!</v>
      </c>
      <c r="K238" s="79"/>
      <c r="L238" s="79"/>
      <c r="M238" s="79"/>
      <c r="N238" s="79"/>
      <c r="O238" s="79"/>
      <c r="P238" s="79"/>
      <c r="Q238" s="79"/>
      <c r="R238" s="79"/>
      <c r="S238" s="79"/>
      <c r="T238" s="79"/>
      <c r="U238" s="79"/>
      <c r="V238" s="79"/>
      <c r="W238" s="79"/>
    </row>
    <row r="239" spans="1:23">
      <c r="A239" s="80" t="e">
        <f>A175</f>
        <v>#REF!</v>
      </c>
      <c r="B239" s="80"/>
      <c r="C239" s="214"/>
      <c r="D239" s="81" t="e">
        <f t="shared" ref="D239:J243" si="61">C107*$C239*D$124</f>
        <v>#REF!</v>
      </c>
      <c r="E239" s="81" t="e">
        <f t="shared" si="61"/>
        <v>#REF!</v>
      </c>
      <c r="F239" s="81" t="e">
        <f t="shared" si="61"/>
        <v>#REF!</v>
      </c>
      <c r="G239" s="81" t="e">
        <f t="shared" si="61"/>
        <v>#REF!</v>
      </c>
      <c r="H239" s="81" t="e">
        <f t="shared" si="61"/>
        <v>#REF!</v>
      </c>
      <c r="I239" s="81" t="e">
        <f t="shared" si="61"/>
        <v>#REF!</v>
      </c>
      <c r="J239" s="81" t="e">
        <f t="shared" si="61"/>
        <v>#REF!</v>
      </c>
      <c r="K239" s="79"/>
      <c r="L239" s="79"/>
      <c r="M239" s="79"/>
      <c r="N239" s="79"/>
      <c r="O239" s="79"/>
      <c r="P239" s="79"/>
      <c r="Q239" s="79"/>
      <c r="R239" s="79"/>
      <c r="S239" s="79"/>
      <c r="T239" s="79"/>
      <c r="U239" s="79"/>
      <c r="V239" s="79"/>
      <c r="W239" s="79"/>
    </row>
    <row r="240" spans="1:23">
      <c r="A240" s="80" t="e">
        <f>A176</f>
        <v>#REF!</v>
      </c>
      <c r="B240" s="80"/>
      <c r="C240" s="214"/>
      <c r="D240" s="81" t="e">
        <f t="shared" si="61"/>
        <v>#REF!</v>
      </c>
      <c r="E240" s="81" t="e">
        <f t="shared" si="61"/>
        <v>#REF!</v>
      </c>
      <c r="F240" s="81" t="e">
        <f t="shared" si="61"/>
        <v>#REF!</v>
      </c>
      <c r="G240" s="81" t="e">
        <f t="shared" si="61"/>
        <v>#REF!</v>
      </c>
      <c r="H240" s="81" t="e">
        <f t="shared" si="61"/>
        <v>#REF!</v>
      </c>
      <c r="I240" s="81" t="e">
        <f t="shared" si="61"/>
        <v>#REF!</v>
      </c>
      <c r="J240" s="81" t="e">
        <f t="shared" si="61"/>
        <v>#REF!</v>
      </c>
      <c r="K240" s="79"/>
      <c r="L240" s="79"/>
      <c r="M240" s="79"/>
      <c r="N240" s="79"/>
      <c r="O240" s="79"/>
      <c r="P240" s="79"/>
      <c r="Q240" s="79"/>
      <c r="R240" s="79"/>
      <c r="S240" s="79"/>
      <c r="T240" s="79"/>
      <c r="U240" s="79"/>
      <c r="V240" s="79"/>
      <c r="W240" s="79"/>
    </row>
    <row r="241" spans="1:23">
      <c r="A241" s="80" t="e">
        <f>A177</f>
        <v>#REF!</v>
      </c>
      <c r="B241" s="80"/>
      <c r="C241" s="214"/>
      <c r="D241" s="81" t="e">
        <f t="shared" si="61"/>
        <v>#REF!</v>
      </c>
      <c r="E241" s="81" t="e">
        <f t="shared" si="61"/>
        <v>#REF!</v>
      </c>
      <c r="F241" s="81" t="e">
        <f t="shared" si="61"/>
        <v>#REF!</v>
      </c>
      <c r="G241" s="81" t="e">
        <f t="shared" si="61"/>
        <v>#REF!</v>
      </c>
      <c r="H241" s="81" t="e">
        <f t="shared" si="61"/>
        <v>#REF!</v>
      </c>
      <c r="I241" s="81" t="e">
        <f t="shared" si="61"/>
        <v>#REF!</v>
      </c>
      <c r="J241" s="81" t="e">
        <f t="shared" si="61"/>
        <v>#REF!</v>
      </c>
      <c r="K241" s="79"/>
      <c r="L241" s="79"/>
      <c r="M241" s="79"/>
      <c r="N241" s="79"/>
      <c r="O241" s="79"/>
      <c r="P241" s="79"/>
      <c r="Q241" s="79"/>
      <c r="R241" s="79"/>
      <c r="S241" s="79"/>
      <c r="T241" s="79"/>
      <c r="U241" s="79"/>
      <c r="V241" s="79"/>
      <c r="W241" s="79"/>
    </row>
    <row r="242" spans="1:23">
      <c r="A242" s="80" t="e">
        <f>A178</f>
        <v>#REF!</v>
      </c>
      <c r="B242" s="80"/>
      <c r="C242" s="214"/>
      <c r="D242" s="81" t="e">
        <f t="shared" si="61"/>
        <v>#REF!</v>
      </c>
      <c r="E242" s="81" t="e">
        <f t="shared" si="61"/>
        <v>#REF!</v>
      </c>
      <c r="F242" s="81" t="e">
        <f t="shared" si="61"/>
        <v>#REF!</v>
      </c>
      <c r="G242" s="81" t="e">
        <f t="shared" si="61"/>
        <v>#REF!</v>
      </c>
      <c r="H242" s="81" t="e">
        <f t="shared" si="61"/>
        <v>#REF!</v>
      </c>
      <c r="I242" s="81" t="e">
        <f t="shared" si="61"/>
        <v>#REF!</v>
      </c>
      <c r="J242" s="81" t="e">
        <f t="shared" si="61"/>
        <v>#REF!</v>
      </c>
      <c r="K242" s="79"/>
      <c r="L242" s="79"/>
      <c r="M242" s="79"/>
      <c r="N242" s="79"/>
      <c r="O242" s="79"/>
      <c r="P242" s="79"/>
      <c r="Q242" s="79"/>
      <c r="R242" s="79"/>
      <c r="S242" s="79"/>
      <c r="T242" s="79"/>
      <c r="U242" s="79"/>
      <c r="V242" s="79"/>
      <c r="W242" s="79"/>
    </row>
    <row r="243" spans="1:23">
      <c r="A243" s="80">
        <f>A179</f>
        <v>0</v>
      </c>
      <c r="B243" s="80"/>
      <c r="C243" s="214"/>
      <c r="D243" s="81">
        <f t="shared" si="61"/>
        <v>0</v>
      </c>
      <c r="E243" s="81">
        <f t="shared" si="61"/>
        <v>0</v>
      </c>
      <c r="F243" s="81">
        <f t="shared" si="61"/>
        <v>0</v>
      </c>
      <c r="G243" s="81">
        <f t="shared" si="61"/>
        <v>0</v>
      </c>
      <c r="H243" s="81">
        <f t="shared" si="61"/>
        <v>0</v>
      </c>
      <c r="I243" s="81">
        <f t="shared" si="61"/>
        <v>0</v>
      </c>
      <c r="J243" s="81">
        <f t="shared" si="61"/>
        <v>0</v>
      </c>
      <c r="K243" s="79"/>
      <c r="L243" s="79"/>
      <c r="M243" s="79"/>
      <c r="N243" s="79"/>
      <c r="O243" s="79"/>
      <c r="P243" s="79"/>
      <c r="Q243" s="79"/>
      <c r="R243" s="79"/>
      <c r="S243" s="79"/>
      <c r="T243" s="79"/>
      <c r="U243" s="79"/>
      <c r="V243" s="79"/>
      <c r="W243" s="79"/>
    </row>
    <row r="244" spans="1:23">
      <c r="A244" s="80" t="str">
        <f>A181</f>
        <v>Fertilizer(Rate/KG)</v>
      </c>
      <c r="B244" s="80"/>
      <c r="C244" s="81"/>
      <c r="D244" s="81"/>
      <c r="E244" s="81"/>
      <c r="F244" s="81"/>
      <c r="G244" s="81"/>
      <c r="H244" s="81"/>
      <c r="I244" s="81"/>
      <c r="J244" s="81"/>
      <c r="K244" s="79"/>
      <c r="L244" s="79"/>
      <c r="M244" s="79"/>
      <c r="N244" s="79"/>
      <c r="O244" s="79"/>
      <c r="P244" s="79"/>
      <c r="Q244" s="79"/>
      <c r="R244" s="79"/>
      <c r="S244" s="79"/>
      <c r="T244" s="79"/>
      <c r="U244" s="79"/>
      <c r="V244" s="79"/>
      <c r="W244" s="79"/>
    </row>
    <row r="245" spans="1:23">
      <c r="A245" s="80" t="str">
        <f>A182</f>
        <v>SSP</v>
      </c>
      <c r="B245" s="80"/>
      <c r="C245" s="214">
        <v>6</v>
      </c>
      <c r="D245" s="81" t="e">
        <f t="shared" ref="D245:J245" si="62">C114*$C$245*D124</f>
        <v>#REF!</v>
      </c>
      <c r="E245" s="81" t="e">
        <f t="shared" si="62"/>
        <v>#REF!</v>
      </c>
      <c r="F245" s="81" t="e">
        <f t="shared" si="62"/>
        <v>#REF!</v>
      </c>
      <c r="G245" s="81" t="e">
        <f t="shared" si="62"/>
        <v>#REF!</v>
      </c>
      <c r="H245" s="81" t="e">
        <f t="shared" si="62"/>
        <v>#REF!</v>
      </c>
      <c r="I245" s="81" t="e">
        <f t="shared" si="62"/>
        <v>#REF!</v>
      </c>
      <c r="J245" s="81" t="e">
        <f t="shared" si="62"/>
        <v>#REF!</v>
      </c>
      <c r="K245" s="79"/>
      <c r="L245" s="79"/>
      <c r="M245" s="79"/>
      <c r="N245" s="79"/>
      <c r="O245" s="79"/>
      <c r="P245" s="79"/>
      <c r="Q245" s="79"/>
      <c r="R245" s="79"/>
      <c r="S245" s="79"/>
      <c r="T245" s="79"/>
      <c r="U245" s="79"/>
      <c r="V245" s="79"/>
      <c r="W245" s="79"/>
    </row>
    <row r="246" spans="1:23">
      <c r="A246" s="80" t="str">
        <f>A183</f>
        <v>Urea</v>
      </c>
      <c r="B246" s="80"/>
      <c r="C246" s="214">
        <v>5</v>
      </c>
      <c r="D246" s="81" t="e">
        <f t="shared" ref="D246:J246" si="63">C115*$C$246*D124</f>
        <v>#REF!</v>
      </c>
      <c r="E246" s="81" t="e">
        <f t="shared" si="63"/>
        <v>#REF!</v>
      </c>
      <c r="F246" s="81" t="e">
        <f t="shared" si="63"/>
        <v>#REF!</v>
      </c>
      <c r="G246" s="81" t="e">
        <f t="shared" si="63"/>
        <v>#REF!</v>
      </c>
      <c r="H246" s="81" t="e">
        <f t="shared" si="63"/>
        <v>#REF!</v>
      </c>
      <c r="I246" s="81" t="e">
        <f t="shared" si="63"/>
        <v>#REF!</v>
      </c>
      <c r="J246" s="81" t="e">
        <f t="shared" si="63"/>
        <v>#REF!</v>
      </c>
      <c r="K246" s="79"/>
      <c r="L246" s="79"/>
      <c r="M246" s="79"/>
      <c r="N246" s="79"/>
      <c r="O246" s="79"/>
      <c r="P246" s="79"/>
      <c r="Q246" s="79"/>
      <c r="R246" s="79"/>
      <c r="S246" s="79"/>
      <c r="T246" s="79"/>
      <c r="U246" s="79"/>
      <c r="V246" s="79"/>
      <c r="W246" s="79"/>
    </row>
    <row r="247" spans="1:23">
      <c r="A247" s="80" t="str">
        <f>A184</f>
        <v>DAP</v>
      </c>
      <c r="B247" s="80"/>
      <c r="C247" s="214">
        <v>27</v>
      </c>
      <c r="D247" s="81" t="e">
        <f t="shared" ref="D247:J247" si="64">C116*$C$247*D124</f>
        <v>#REF!</v>
      </c>
      <c r="E247" s="81" t="e">
        <f t="shared" si="64"/>
        <v>#REF!</v>
      </c>
      <c r="F247" s="81" t="e">
        <f t="shared" si="64"/>
        <v>#REF!</v>
      </c>
      <c r="G247" s="81" t="e">
        <f t="shared" si="64"/>
        <v>#REF!</v>
      </c>
      <c r="H247" s="81" t="e">
        <f t="shared" si="64"/>
        <v>#REF!</v>
      </c>
      <c r="I247" s="81" t="e">
        <f t="shared" si="64"/>
        <v>#REF!</v>
      </c>
      <c r="J247" s="81" t="e">
        <f t="shared" si="64"/>
        <v>#REF!</v>
      </c>
      <c r="K247" s="79"/>
      <c r="L247" s="79"/>
      <c r="M247" s="79"/>
      <c r="N247" s="79"/>
      <c r="O247" s="79"/>
      <c r="P247" s="79"/>
      <c r="Q247" s="79"/>
      <c r="R247" s="79"/>
      <c r="S247" s="79"/>
      <c r="T247" s="79"/>
      <c r="U247" s="79"/>
      <c r="V247" s="79"/>
      <c r="W247" s="79"/>
    </row>
    <row r="248" spans="1:23">
      <c r="A248" s="80"/>
      <c r="B248" s="80"/>
      <c r="C248" s="81"/>
      <c r="D248" s="81"/>
      <c r="E248" s="81"/>
      <c r="F248" s="81"/>
      <c r="G248" s="81"/>
      <c r="H248" s="81"/>
      <c r="I248" s="81"/>
      <c r="J248" s="81"/>
      <c r="K248" s="79"/>
      <c r="L248" s="79"/>
      <c r="M248" s="79"/>
      <c r="N248" s="79"/>
      <c r="O248" s="79"/>
      <c r="P248" s="79"/>
      <c r="Q248" s="79"/>
      <c r="R248" s="79"/>
      <c r="S248" s="79"/>
      <c r="T248" s="79"/>
      <c r="U248" s="79"/>
      <c r="V248" s="79"/>
      <c r="W248" s="79"/>
    </row>
    <row r="249" spans="1:23">
      <c r="A249" s="80" t="str">
        <f>A186</f>
        <v>Pesticide</v>
      </c>
      <c r="B249" s="80"/>
      <c r="C249" s="81"/>
      <c r="D249" s="81"/>
      <c r="E249" s="81"/>
      <c r="F249" s="81"/>
      <c r="G249" s="81"/>
      <c r="H249" s="81"/>
      <c r="I249" s="81"/>
      <c r="J249" s="81"/>
      <c r="K249" s="79"/>
      <c r="L249" s="79"/>
      <c r="M249" s="79"/>
      <c r="N249" s="79"/>
      <c r="O249" s="79"/>
      <c r="P249" s="79"/>
      <c r="Q249" s="79"/>
      <c r="R249" s="79"/>
      <c r="S249" s="79"/>
      <c r="T249" s="79"/>
      <c r="U249" s="79"/>
      <c r="V249" s="79"/>
      <c r="W249" s="79"/>
    </row>
    <row r="250" spans="1:23">
      <c r="A250" s="80" t="str">
        <f>A187</f>
        <v>Dupont Coragen</v>
      </c>
      <c r="B250" s="80"/>
      <c r="C250" s="214">
        <v>2800</v>
      </c>
      <c r="D250" s="81" t="e">
        <f t="shared" ref="D250:J250" si="65">C118*$C$250*D124</f>
        <v>#REF!</v>
      </c>
      <c r="E250" s="81" t="e">
        <f t="shared" si="65"/>
        <v>#REF!</v>
      </c>
      <c r="F250" s="81" t="e">
        <f t="shared" si="65"/>
        <v>#REF!</v>
      </c>
      <c r="G250" s="81" t="e">
        <f t="shared" si="65"/>
        <v>#REF!</v>
      </c>
      <c r="H250" s="81" t="e">
        <f t="shared" si="65"/>
        <v>#REF!</v>
      </c>
      <c r="I250" s="81" t="e">
        <f t="shared" si="65"/>
        <v>#REF!</v>
      </c>
      <c r="J250" s="81" t="e">
        <f t="shared" si="65"/>
        <v>#REF!</v>
      </c>
      <c r="K250" s="79"/>
      <c r="L250" s="79"/>
      <c r="M250" s="79"/>
      <c r="N250" s="79"/>
      <c r="O250" s="79"/>
      <c r="P250" s="79"/>
      <c r="Q250" s="79"/>
      <c r="R250" s="79"/>
      <c r="S250" s="79"/>
      <c r="T250" s="79"/>
      <c r="U250" s="79"/>
      <c r="V250" s="79"/>
      <c r="W250" s="79"/>
    </row>
    <row r="251" spans="1:23">
      <c r="A251" s="80" t="str">
        <f>A188</f>
        <v>Confidor Boyer</v>
      </c>
      <c r="B251" s="80"/>
      <c r="C251" s="214">
        <v>2000</v>
      </c>
      <c r="D251" s="81" t="e">
        <f t="shared" ref="D251:J251" si="66">C119*$C$251*D124</f>
        <v>#REF!</v>
      </c>
      <c r="E251" s="81" t="e">
        <f t="shared" si="66"/>
        <v>#REF!</v>
      </c>
      <c r="F251" s="81" t="e">
        <f t="shared" si="66"/>
        <v>#REF!</v>
      </c>
      <c r="G251" s="81" t="e">
        <f t="shared" si="66"/>
        <v>#REF!</v>
      </c>
      <c r="H251" s="81" t="e">
        <f t="shared" si="66"/>
        <v>#REF!</v>
      </c>
      <c r="I251" s="81" t="e">
        <f t="shared" si="66"/>
        <v>#REF!</v>
      </c>
      <c r="J251" s="81" t="e">
        <f t="shared" si="66"/>
        <v>#REF!</v>
      </c>
      <c r="K251" s="79"/>
      <c r="L251" s="79"/>
      <c r="M251" s="79"/>
      <c r="N251" s="79"/>
      <c r="O251" s="79"/>
      <c r="P251" s="79"/>
      <c r="Q251" s="79"/>
      <c r="R251" s="79"/>
      <c r="S251" s="79"/>
      <c r="T251" s="79"/>
      <c r="U251" s="79"/>
      <c r="V251" s="79"/>
      <c r="W251" s="79"/>
    </row>
    <row r="252" spans="1:23">
      <c r="A252" s="80"/>
      <c r="B252" s="80"/>
      <c r="C252" s="81"/>
      <c r="D252" s="81"/>
      <c r="E252" s="81"/>
      <c r="F252" s="81"/>
      <c r="G252" s="81"/>
      <c r="H252" s="81"/>
      <c r="I252" s="81"/>
      <c r="J252" s="81"/>
      <c r="K252" s="79"/>
      <c r="L252" s="79"/>
      <c r="M252" s="79"/>
      <c r="N252" s="79"/>
      <c r="O252" s="79"/>
      <c r="P252" s="79"/>
      <c r="Q252" s="79"/>
      <c r="R252" s="79"/>
      <c r="S252" s="79"/>
      <c r="T252" s="79"/>
      <c r="U252" s="79"/>
      <c r="V252" s="79"/>
      <c r="W252" s="79"/>
    </row>
    <row r="253" spans="1:23">
      <c r="A253" s="80" t="s">
        <v>281</v>
      </c>
      <c r="B253" s="80"/>
      <c r="C253" s="214">
        <v>10</v>
      </c>
      <c r="D253" s="81" t="e">
        <f t="shared" ref="D253:J253" si="67">(SUM(C63:C119)/50)*$C$253*D124</f>
        <v>#REF!</v>
      </c>
      <c r="E253" s="81" t="e">
        <f t="shared" si="67"/>
        <v>#REF!</v>
      </c>
      <c r="F253" s="81" t="e">
        <f t="shared" si="67"/>
        <v>#REF!</v>
      </c>
      <c r="G253" s="81" t="e">
        <f t="shared" si="67"/>
        <v>#REF!</v>
      </c>
      <c r="H253" s="81" t="e">
        <f t="shared" si="67"/>
        <v>#REF!</v>
      </c>
      <c r="I253" s="81" t="e">
        <f t="shared" si="67"/>
        <v>#REF!</v>
      </c>
      <c r="J253" s="81" t="e">
        <f t="shared" si="67"/>
        <v>#REF!</v>
      </c>
      <c r="K253" s="79"/>
      <c r="L253" s="79"/>
      <c r="M253" s="79"/>
      <c r="N253" s="79"/>
      <c r="O253" s="79"/>
      <c r="P253" s="79"/>
      <c r="Q253" s="79"/>
      <c r="R253" s="79"/>
      <c r="S253" s="79"/>
      <c r="T253" s="79"/>
      <c r="U253" s="79"/>
      <c r="V253" s="79"/>
      <c r="W253" s="79"/>
    </row>
    <row r="254" spans="1:23">
      <c r="A254" s="80" t="s">
        <v>166</v>
      </c>
      <c r="B254" s="80"/>
      <c r="C254" s="214">
        <v>100</v>
      </c>
      <c r="D254" s="81" t="e">
        <f t="shared" ref="D254:J254" si="68">(SUM(C63:C119)/50)*$C$254*D124</f>
        <v>#REF!</v>
      </c>
      <c r="E254" s="81" t="e">
        <f t="shared" si="68"/>
        <v>#REF!</v>
      </c>
      <c r="F254" s="81" t="e">
        <f t="shared" si="68"/>
        <v>#REF!</v>
      </c>
      <c r="G254" s="81" t="e">
        <f t="shared" si="68"/>
        <v>#REF!</v>
      </c>
      <c r="H254" s="81" t="e">
        <f t="shared" si="68"/>
        <v>#REF!</v>
      </c>
      <c r="I254" s="81" t="e">
        <f t="shared" si="68"/>
        <v>#REF!</v>
      </c>
      <c r="J254" s="81" t="e">
        <f t="shared" si="68"/>
        <v>#REF!</v>
      </c>
      <c r="K254" s="79"/>
      <c r="L254" s="79"/>
      <c r="M254" s="79"/>
      <c r="N254" s="79"/>
      <c r="O254" s="79"/>
      <c r="P254" s="79"/>
      <c r="Q254" s="79"/>
      <c r="R254" s="79"/>
      <c r="S254" s="79"/>
      <c r="T254" s="79"/>
      <c r="U254" s="79"/>
      <c r="V254" s="79"/>
      <c r="W254" s="79"/>
    </row>
    <row r="255" spans="1:23">
      <c r="A255" s="80"/>
      <c r="B255" s="80"/>
      <c r="C255" s="214"/>
      <c r="D255" s="171"/>
      <c r="E255" s="81"/>
      <c r="F255" s="81"/>
      <c r="G255" s="81"/>
      <c r="H255" s="81"/>
      <c r="I255" s="81"/>
      <c r="J255" s="81"/>
      <c r="K255" s="79"/>
      <c r="L255" s="79"/>
      <c r="M255" s="79"/>
      <c r="N255" s="79"/>
      <c r="O255" s="79"/>
      <c r="P255" s="79"/>
      <c r="Q255" s="79"/>
      <c r="R255" s="79"/>
      <c r="S255" s="79"/>
      <c r="T255" s="79"/>
      <c r="U255" s="79"/>
      <c r="V255" s="79"/>
      <c r="W255" s="79"/>
    </row>
    <row r="256" spans="1:23">
      <c r="A256" s="80"/>
      <c r="B256" s="80"/>
      <c r="C256" s="214"/>
      <c r="D256" s="171"/>
      <c r="E256" s="81"/>
      <c r="F256" s="81"/>
      <c r="G256" s="81"/>
      <c r="H256" s="81"/>
      <c r="I256" s="81"/>
      <c r="J256" s="81"/>
      <c r="K256" s="79"/>
      <c r="L256" s="79"/>
      <c r="M256" s="79"/>
      <c r="N256" s="79"/>
      <c r="O256" s="79"/>
      <c r="P256" s="79"/>
      <c r="Q256" s="79"/>
      <c r="R256" s="79"/>
      <c r="S256" s="79"/>
      <c r="T256" s="79"/>
      <c r="U256" s="79"/>
      <c r="V256" s="79"/>
      <c r="W256" s="79"/>
    </row>
    <row r="257" spans="1:23">
      <c r="A257" s="80"/>
      <c r="B257" s="80"/>
      <c r="C257" s="214"/>
      <c r="D257" s="171"/>
      <c r="E257" s="81"/>
      <c r="F257" s="81"/>
      <c r="G257" s="81"/>
      <c r="H257" s="81"/>
      <c r="I257" s="81"/>
      <c r="J257" s="81"/>
      <c r="K257" s="79"/>
      <c r="L257" s="79"/>
      <c r="M257" s="79"/>
      <c r="N257" s="79"/>
      <c r="O257" s="79"/>
      <c r="P257" s="79"/>
      <c r="Q257" s="79"/>
      <c r="R257" s="79"/>
      <c r="S257" s="79"/>
      <c r="T257" s="79"/>
      <c r="U257" s="79"/>
      <c r="V257" s="79"/>
      <c r="W257" s="79"/>
    </row>
    <row r="258" spans="1:23">
      <c r="A258" s="80"/>
      <c r="B258" s="80"/>
      <c r="C258" s="214"/>
      <c r="D258" s="171"/>
      <c r="E258" s="81"/>
      <c r="F258" s="81"/>
      <c r="G258" s="81"/>
      <c r="H258" s="81"/>
      <c r="I258" s="81"/>
      <c r="J258" s="81"/>
      <c r="K258" s="79"/>
      <c r="L258" s="79"/>
      <c r="M258" s="79"/>
      <c r="N258" s="79"/>
      <c r="O258" s="79"/>
      <c r="P258" s="79"/>
      <c r="Q258" s="79"/>
      <c r="R258" s="79"/>
      <c r="S258" s="79"/>
      <c r="T258" s="79"/>
      <c r="U258" s="79"/>
      <c r="V258" s="79"/>
      <c r="W258" s="79"/>
    </row>
    <row r="259" spans="1:23">
      <c r="A259" s="80" t="s">
        <v>329</v>
      </c>
      <c r="B259" s="80"/>
      <c r="C259" s="81"/>
      <c r="D259" s="171"/>
      <c r="E259" s="81">
        <f>'5.Closing Stock &amp; W Capital'!F6</f>
        <v>0</v>
      </c>
      <c r="F259" s="81">
        <f>'5.Closing Stock &amp; W Capital'!G6</f>
        <v>0</v>
      </c>
      <c r="G259" s="81">
        <f>'5.Closing Stock &amp; W Capital'!H6</f>
        <v>0</v>
      </c>
      <c r="H259" s="81">
        <f>'5.Closing Stock &amp; W Capital'!I6</f>
        <v>0</v>
      </c>
      <c r="I259" s="81">
        <f>'5.Closing Stock &amp; W Capital'!J6</f>
        <v>0</v>
      </c>
      <c r="J259" s="81">
        <f>'5.Closing Stock &amp; W Capital'!K6</f>
        <v>0</v>
      </c>
      <c r="K259" s="79"/>
      <c r="L259" s="79"/>
      <c r="M259" s="79"/>
      <c r="N259" s="79"/>
      <c r="O259" s="79"/>
      <c r="P259" s="79"/>
      <c r="Q259" s="79"/>
      <c r="R259" s="79"/>
      <c r="S259" s="79"/>
      <c r="T259" s="79"/>
      <c r="U259" s="79"/>
      <c r="V259" s="79"/>
      <c r="W259" s="79"/>
    </row>
    <row r="260" spans="1:23">
      <c r="A260" s="84" t="s">
        <v>330</v>
      </c>
      <c r="B260" s="80"/>
      <c r="C260" s="80"/>
      <c r="D260" s="171">
        <f>'5.Closing Stock &amp; W Capital'!E15</f>
        <v>0</v>
      </c>
      <c r="E260" s="81">
        <f>'5.Closing Stock &amp; W Capital'!F15</f>
        <v>0</v>
      </c>
      <c r="F260" s="81">
        <f>'5.Closing Stock &amp; W Capital'!G15</f>
        <v>0</v>
      </c>
      <c r="G260" s="81">
        <f>'5.Closing Stock &amp; W Capital'!H15</f>
        <v>0</v>
      </c>
      <c r="H260" s="81">
        <f>'5.Closing Stock &amp; W Capital'!I15</f>
        <v>0</v>
      </c>
      <c r="I260" s="81">
        <f>'5.Closing Stock &amp; W Capital'!J15</f>
        <v>0</v>
      </c>
      <c r="J260" s="81">
        <f>'5.Closing Stock &amp; W Capital'!K15</f>
        <v>0</v>
      </c>
      <c r="K260" s="79"/>
      <c r="L260" s="79"/>
      <c r="M260" s="79"/>
      <c r="N260" s="79"/>
      <c r="O260" s="79"/>
      <c r="P260" s="79"/>
      <c r="Q260" s="79"/>
      <c r="R260" s="79"/>
      <c r="S260" s="79"/>
      <c r="T260" s="79"/>
      <c r="U260" s="79"/>
      <c r="V260" s="79"/>
      <c r="W260" s="79"/>
    </row>
    <row r="261" spans="1:23">
      <c r="A261" s="80"/>
      <c r="B261" s="80"/>
      <c r="C261" s="80"/>
      <c r="D261" s="79"/>
      <c r="E261" s="79"/>
      <c r="F261" s="79"/>
      <c r="G261" s="79"/>
      <c r="H261" s="79"/>
      <c r="I261" s="79"/>
      <c r="J261" s="79"/>
      <c r="K261" s="79"/>
      <c r="L261" s="79"/>
      <c r="M261" s="79"/>
      <c r="N261" s="79"/>
      <c r="O261" s="79"/>
      <c r="P261" s="79"/>
      <c r="Q261" s="79"/>
      <c r="R261" s="79"/>
      <c r="S261" s="79"/>
      <c r="T261" s="79"/>
      <c r="U261" s="79"/>
      <c r="V261" s="79"/>
      <c r="W261" s="79"/>
    </row>
    <row r="262" spans="1:23">
      <c r="A262" s="82" t="s">
        <v>308</v>
      </c>
      <c r="B262" s="82"/>
      <c r="C262" s="98"/>
      <c r="D262" s="98" t="e">
        <f>SUM(D197:D258)+D259-D260</f>
        <v>#REF!</v>
      </c>
      <c r="E262" s="98" t="e">
        <f t="shared" ref="E262:J262" si="69">SUM(E197:E258)+E259-E260</f>
        <v>#REF!</v>
      </c>
      <c r="F262" s="98" t="e">
        <f t="shared" si="69"/>
        <v>#REF!</v>
      </c>
      <c r="G262" s="98" t="e">
        <f t="shared" si="69"/>
        <v>#REF!</v>
      </c>
      <c r="H262" s="98" t="e">
        <f t="shared" si="69"/>
        <v>#REF!</v>
      </c>
      <c r="I262" s="98" t="e">
        <f t="shared" si="69"/>
        <v>#REF!</v>
      </c>
      <c r="J262" s="98" t="e">
        <f t="shared" si="69"/>
        <v>#REF!</v>
      </c>
      <c r="K262" s="79"/>
      <c r="L262" s="79"/>
      <c r="M262" s="79"/>
      <c r="N262" s="79"/>
      <c r="O262" s="79"/>
      <c r="P262" s="79"/>
      <c r="Q262" s="79"/>
      <c r="R262" s="79"/>
      <c r="S262" s="79"/>
      <c r="T262" s="79"/>
      <c r="U262" s="79"/>
      <c r="V262" s="79"/>
      <c r="W262" s="79"/>
    </row>
    <row r="263" spans="1:23">
      <c r="A263" s="80"/>
      <c r="B263" s="80"/>
      <c r="C263" s="81"/>
      <c r="D263" s="81"/>
      <c r="E263" s="81"/>
      <c r="F263" s="81"/>
      <c r="G263" s="81"/>
      <c r="H263" s="81"/>
      <c r="I263" s="81"/>
      <c r="J263" s="81"/>
      <c r="K263" s="79"/>
      <c r="L263" s="79"/>
      <c r="M263" s="79"/>
      <c r="N263" s="79"/>
      <c r="O263" s="79"/>
      <c r="P263" s="79"/>
      <c r="Q263" s="79"/>
      <c r="R263" s="79"/>
      <c r="S263" s="79"/>
      <c r="T263" s="79"/>
      <c r="U263" s="79"/>
      <c r="V263" s="79"/>
      <c r="W263" s="79"/>
    </row>
    <row r="264" spans="1:23">
      <c r="A264" s="82" t="s">
        <v>299</v>
      </c>
      <c r="B264" s="82"/>
      <c r="C264" s="81"/>
      <c r="D264" s="81"/>
      <c r="E264" s="81"/>
      <c r="F264" s="81"/>
      <c r="G264" s="81"/>
      <c r="H264" s="81"/>
      <c r="I264" s="81"/>
      <c r="J264" s="81"/>
      <c r="K264" s="79"/>
      <c r="L264" s="79"/>
      <c r="M264" s="79"/>
      <c r="N264" s="79"/>
      <c r="O264" s="79"/>
      <c r="P264" s="79"/>
      <c r="Q264" s="79"/>
      <c r="R264" s="79"/>
      <c r="S264" s="79"/>
      <c r="T264" s="79"/>
      <c r="U264" s="79"/>
      <c r="V264" s="79"/>
      <c r="W264" s="79"/>
    </row>
    <row r="265" spans="1:23">
      <c r="A265" s="80" t="s">
        <v>313</v>
      </c>
      <c r="B265" s="80">
        <v>12</v>
      </c>
      <c r="C265" s="214"/>
      <c r="D265" s="81">
        <f t="shared" ref="D265:J265" si="70">$B$265*$C$265*D124</f>
        <v>0</v>
      </c>
      <c r="E265" s="81">
        <f t="shared" si="70"/>
        <v>0</v>
      </c>
      <c r="F265" s="81">
        <f t="shared" si="70"/>
        <v>0</v>
      </c>
      <c r="G265" s="81">
        <f t="shared" si="70"/>
        <v>0</v>
      </c>
      <c r="H265" s="81">
        <f t="shared" si="70"/>
        <v>0</v>
      </c>
      <c r="I265" s="81">
        <f t="shared" si="70"/>
        <v>0</v>
      </c>
      <c r="J265" s="81">
        <f t="shared" si="70"/>
        <v>0</v>
      </c>
      <c r="K265" s="79"/>
      <c r="L265" s="79"/>
      <c r="M265" s="79"/>
      <c r="N265" s="79"/>
      <c r="O265" s="79"/>
      <c r="P265" s="79"/>
      <c r="Q265" s="79"/>
      <c r="R265" s="79"/>
      <c r="S265" s="79"/>
      <c r="T265" s="79"/>
      <c r="U265" s="79"/>
      <c r="V265" s="79"/>
      <c r="W265" s="79"/>
    </row>
    <row r="266" spans="1:23">
      <c r="A266" s="80" t="s">
        <v>314</v>
      </c>
      <c r="B266" s="191">
        <v>1</v>
      </c>
      <c r="C266" s="214"/>
      <c r="D266" s="81">
        <f t="shared" ref="D266:J266" si="71">$B$266*$C$266*12*D124</f>
        <v>0</v>
      </c>
      <c r="E266" s="81">
        <f t="shared" si="71"/>
        <v>0</v>
      </c>
      <c r="F266" s="81">
        <f t="shared" si="71"/>
        <v>0</v>
      </c>
      <c r="G266" s="81">
        <f t="shared" si="71"/>
        <v>0</v>
      </c>
      <c r="H266" s="81">
        <f t="shared" si="71"/>
        <v>0</v>
      </c>
      <c r="I266" s="81">
        <f t="shared" si="71"/>
        <v>0</v>
      </c>
      <c r="J266" s="81">
        <f t="shared" si="71"/>
        <v>0</v>
      </c>
      <c r="K266" s="79"/>
      <c r="L266" s="79"/>
      <c r="M266" s="79"/>
      <c r="N266" s="79"/>
      <c r="O266" s="79"/>
      <c r="P266" s="79"/>
      <c r="Q266" s="79"/>
      <c r="R266" s="79"/>
      <c r="S266" s="79"/>
      <c r="T266" s="79"/>
      <c r="U266" s="79"/>
      <c r="V266" s="79"/>
      <c r="W266" s="79"/>
    </row>
    <row r="267" spans="1:23">
      <c r="A267" s="80" t="s">
        <v>184</v>
      </c>
      <c r="B267" s="191">
        <v>1</v>
      </c>
      <c r="C267" s="214"/>
      <c r="D267" s="81">
        <f t="shared" ref="D267:J267" si="72">$B$267*$C$267*12*D124</f>
        <v>0</v>
      </c>
      <c r="E267" s="81">
        <f t="shared" si="72"/>
        <v>0</v>
      </c>
      <c r="F267" s="81">
        <f t="shared" si="72"/>
        <v>0</v>
      </c>
      <c r="G267" s="81">
        <f t="shared" si="72"/>
        <v>0</v>
      </c>
      <c r="H267" s="81">
        <f t="shared" si="72"/>
        <v>0</v>
      </c>
      <c r="I267" s="81">
        <f t="shared" si="72"/>
        <v>0</v>
      </c>
      <c r="J267" s="81">
        <f t="shared" si="72"/>
        <v>0</v>
      </c>
      <c r="K267" s="79"/>
      <c r="L267" s="79"/>
      <c r="M267" s="79"/>
      <c r="N267" s="79"/>
      <c r="O267" s="79"/>
      <c r="P267" s="79"/>
      <c r="Q267" s="79"/>
      <c r="R267" s="79"/>
      <c r="S267" s="79"/>
      <c r="T267" s="79"/>
      <c r="U267" s="79"/>
      <c r="V267" s="79"/>
      <c r="W267" s="79"/>
    </row>
    <row r="268" spans="1:23">
      <c r="A268" s="80" t="s">
        <v>315</v>
      </c>
      <c r="B268" s="80">
        <v>12</v>
      </c>
      <c r="C268" s="214"/>
      <c r="D268" s="81">
        <f t="shared" ref="D268:J268" si="73">$B$268*$C$268*D124</f>
        <v>0</v>
      </c>
      <c r="E268" s="81">
        <f t="shared" si="73"/>
        <v>0</v>
      </c>
      <c r="F268" s="81">
        <f t="shared" si="73"/>
        <v>0</v>
      </c>
      <c r="G268" s="81">
        <f t="shared" si="73"/>
        <v>0</v>
      </c>
      <c r="H268" s="81">
        <f t="shared" si="73"/>
        <v>0</v>
      </c>
      <c r="I268" s="81">
        <f t="shared" si="73"/>
        <v>0</v>
      </c>
      <c r="J268" s="81">
        <f t="shared" si="73"/>
        <v>0</v>
      </c>
      <c r="K268" s="79"/>
      <c r="L268" s="79"/>
      <c r="M268" s="79"/>
      <c r="N268" s="79"/>
      <c r="O268" s="79"/>
      <c r="P268" s="79"/>
      <c r="Q268" s="79"/>
      <c r="R268" s="79"/>
      <c r="S268" s="79"/>
      <c r="T268" s="79"/>
      <c r="U268" s="79"/>
      <c r="V268" s="79"/>
      <c r="W268" s="79"/>
    </row>
    <row r="269" spans="1:23">
      <c r="A269" s="80"/>
      <c r="B269" s="80"/>
      <c r="C269" s="214"/>
      <c r="D269" s="81"/>
      <c r="E269" s="81"/>
      <c r="F269" s="81"/>
      <c r="G269" s="81"/>
      <c r="H269" s="81"/>
      <c r="I269" s="81"/>
      <c r="J269" s="81"/>
      <c r="K269" s="79"/>
      <c r="L269" s="79"/>
      <c r="M269" s="79"/>
      <c r="N269" s="79"/>
      <c r="O269" s="79"/>
      <c r="P269" s="79"/>
      <c r="Q269" s="79"/>
      <c r="R269" s="79"/>
      <c r="S269" s="79"/>
      <c r="T269" s="79"/>
      <c r="U269" s="79"/>
      <c r="V269" s="79"/>
      <c r="W269" s="79"/>
    </row>
    <row r="270" spans="1:23">
      <c r="A270" s="80"/>
      <c r="B270" s="80"/>
      <c r="C270" s="214"/>
      <c r="D270" s="81"/>
      <c r="E270" s="81"/>
      <c r="F270" s="81"/>
      <c r="G270" s="81"/>
      <c r="H270" s="81"/>
      <c r="I270" s="81"/>
      <c r="J270" s="81"/>
      <c r="K270" s="79"/>
      <c r="L270" s="79"/>
      <c r="M270" s="79"/>
      <c r="N270" s="79"/>
      <c r="O270" s="79"/>
      <c r="P270" s="79"/>
      <c r="Q270" s="79"/>
      <c r="R270" s="79"/>
      <c r="S270" s="79"/>
      <c r="T270" s="79"/>
      <c r="U270" s="79"/>
      <c r="V270" s="79"/>
      <c r="W270" s="79"/>
    </row>
    <row r="271" spans="1:23">
      <c r="A271" s="80"/>
      <c r="B271" s="80"/>
      <c r="C271" s="214"/>
      <c r="D271" s="81"/>
      <c r="E271" s="81"/>
      <c r="F271" s="81"/>
      <c r="G271" s="81"/>
      <c r="H271" s="81"/>
      <c r="I271" s="81"/>
      <c r="J271" s="81"/>
      <c r="K271" s="79"/>
      <c r="L271" s="79"/>
      <c r="M271" s="79"/>
      <c r="N271" s="79"/>
      <c r="O271" s="79"/>
      <c r="P271" s="79"/>
      <c r="Q271" s="79"/>
      <c r="R271" s="79"/>
      <c r="S271" s="79"/>
      <c r="T271" s="79"/>
      <c r="U271" s="79"/>
      <c r="V271" s="79"/>
      <c r="W271" s="79"/>
    </row>
    <row r="272" spans="1:23">
      <c r="A272" s="80"/>
      <c r="B272" s="80"/>
      <c r="C272" s="214"/>
      <c r="D272" s="81"/>
      <c r="E272" s="81"/>
      <c r="F272" s="81"/>
      <c r="G272" s="81"/>
      <c r="H272" s="81"/>
      <c r="I272" s="81"/>
      <c r="J272" s="81"/>
      <c r="K272" s="79"/>
      <c r="L272" s="79"/>
      <c r="M272" s="79"/>
      <c r="N272" s="79"/>
      <c r="O272" s="79"/>
      <c r="P272" s="79"/>
      <c r="Q272" s="79"/>
      <c r="R272" s="79"/>
      <c r="S272" s="79"/>
      <c r="T272" s="79"/>
      <c r="U272" s="79"/>
      <c r="V272" s="79"/>
      <c r="W272" s="79"/>
    </row>
    <row r="273" spans="1:23">
      <c r="A273" s="82" t="s">
        <v>312</v>
      </c>
      <c r="B273" s="82"/>
      <c r="C273" s="98"/>
      <c r="D273" s="98">
        <f>SUM(D265:D272)</f>
        <v>0</v>
      </c>
      <c r="E273" s="98">
        <f t="shared" ref="E273:J273" si="74">SUM(E265:E272)</f>
        <v>0</v>
      </c>
      <c r="F273" s="98">
        <f t="shared" si="74"/>
        <v>0</v>
      </c>
      <c r="G273" s="98">
        <f t="shared" si="74"/>
        <v>0</v>
      </c>
      <c r="H273" s="98">
        <f t="shared" si="74"/>
        <v>0</v>
      </c>
      <c r="I273" s="98">
        <f t="shared" si="74"/>
        <v>0</v>
      </c>
      <c r="J273" s="98">
        <f t="shared" si="74"/>
        <v>0</v>
      </c>
      <c r="K273" s="79"/>
      <c r="L273" s="79"/>
      <c r="M273" s="79"/>
      <c r="N273" s="79"/>
      <c r="O273" s="79"/>
      <c r="P273" s="79"/>
      <c r="Q273" s="79"/>
      <c r="R273" s="79"/>
      <c r="S273" s="79"/>
      <c r="T273" s="79"/>
      <c r="U273" s="79"/>
      <c r="V273" s="79"/>
      <c r="W273" s="79"/>
    </row>
    <row r="274" spans="1:23">
      <c r="A274" s="159" t="s">
        <v>131</v>
      </c>
      <c r="B274" s="159"/>
      <c r="C274" s="172"/>
      <c r="D274" s="98" t="e">
        <f t="shared" ref="D274:J274" si="75">D262+D273</f>
        <v>#REF!</v>
      </c>
      <c r="E274" s="98" t="e">
        <f t="shared" si="75"/>
        <v>#REF!</v>
      </c>
      <c r="F274" s="98" t="e">
        <f t="shared" si="75"/>
        <v>#REF!</v>
      </c>
      <c r="G274" s="98" t="e">
        <f t="shared" si="75"/>
        <v>#REF!</v>
      </c>
      <c r="H274" s="98" t="e">
        <f t="shared" si="75"/>
        <v>#REF!</v>
      </c>
      <c r="I274" s="98" t="e">
        <f t="shared" si="75"/>
        <v>#REF!</v>
      </c>
      <c r="J274" s="98" t="e">
        <f t="shared" si="75"/>
        <v>#REF!</v>
      </c>
      <c r="K274" s="79"/>
      <c r="L274" s="79"/>
      <c r="M274" s="79"/>
      <c r="N274" s="79"/>
      <c r="O274" s="79"/>
      <c r="P274" s="79"/>
      <c r="Q274" s="79"/>
      <c r="R274" s="79"/>
      <c r="S274" s="79"/>
      <c r="T274" s="79"/>
      <c r="U274" s="79"/>
      <c r="V274" s="79"/>
      <c r="W274" s="79"/>
    </row>
    <row r="275" spans="1:23">
      <c r="A275" s="80"/>
      <c r="B275" s="80"/>
      <c r="C275" s="81"/>
      <c r="D275" s="81"/>
      <c r="E275" s="81"/>
      <c r="F275" s="81"/>
      <c r="G275" s="81"/>
      <c r="H275" s="81"/>
      <c r="I275" s="81"/>
      <c r="J275" s="81"/>
      <c r="K275" s="79"/>
      <c r="L275" s="79"/>
      <c r="M275" s="79"/>
      <c r="N275" s="79"/>
      <c r="O275" s="79"/>
      <c r="P275" s="79"/>
      <c r="Q275" s="79"/>
      <c r="R275" s="79"/>
      <c r="S275" s="79"/>
      <c r="T275" s="79"/>
      <c r="U275" s="79"/>
      <c r="V275" s="79"/>
      <c r="W275" s="79"/>
    </row>
    <row r="276" spans="1:23">
      <c r="A276" s="159" t="s">
        <v>7</v>
      </c>
      <c r="B276" s="159"/>
      <c r="C276" s="172"/>
      <c r="D276" s="98" t="e">
        <f t="shared" ref="D276:J276" si="76">D191-D274</f>
        <v>#REF!</v>
      </c>
      <c r="E276" s="98" t="e">
        <f t="shared" si="76"/>
        <v>#REF!</v>
      </c>
      <c r="F276" s="98" t="e">
        <f t="shared" si="76"/>
        <v>#REF!</v>
      </c>
      <c r="G276" s="98" t="e">
        <f t="shared" si="76"/>
        <v>#REF!</v>
      </c>
      <c r="H276" s="98" t="e">
        <f t="shared" si="76"/>
        <v>#REF!</v>
      </c>
      <c r="I276" s="98" t="e">
        <f t="shared" si="76"/>
        <v>#REF!</v>
      </c>
      <c r="J276" s="98" t="e">
        <f t="shared" si="76"/>
        <v>#REF!</v>
      </c>
      <c r="K276" s="79"/>
      <c r="L276" s="79"/>
      <c r="M276" s="79"/>
      <c r="N276" s="79"/>
      <c r="O276" s="79"/>
      <c r="P276" s="79"/>
      <c r="Q276" s="79"/>
      <c r="R276" s="79"/>
      <c r="S276" s="79"/>
      <c r="T276" s="79"/>
      <c r="U276" s="79"/>
      <c r="V276" s="79"/>
      <c r="W276" s="79"/>
    </row>
    <row r="277" spans="1:23">
      <c r="A277" s="99"/>
      <c r="B277" s="99"/>
      <c r="C277" s="99"/>
      <c r="D277" s="79"/>
      <c r="E277" s="79"/>
      <c r="F277" s="79"/>
      <c r="G277" s="79"/>
      <c r="H277" s="79"/>
      <c r="I277" s="79"/>
      <c r="J277" s="79"/>
      <c r="K277" s="79"/>
      <c r="L277" s="79"/>
      <c r="M277" s="79"/>
      <c r="N277" s="79"/>
      <c r="O277" s="79"/>
      <c r="P277" s="79"/>
      <c r="Q277" s="79"/>
      <c r="R277" s="79"/>
      <c r="S277" s="79"/>
      <c r="T277" s="79"/>
      <c r="U277" s="79"/>
      <c r="V277" s="79"/>
      <c r="W277" s="79"/>
    </row>
    <row r="278" spans="1:23">
      <c r="A278" s="79"/>
      <c r="B278" s="79"/>
      <c r="C278" s="79"/>
      <c r="D278" s="79"/>
      <c r="E278" s="79"/>
      <c r="F278" s="79"/>
      <c r="G278" s="79"/>
      <c r="H278" s="79"/>
      <c r="I278" s="79"/>
      <c r="J278" s="79"/>
      <c r="K278" s="79"/>
      <c r="L278" s="79"/>
      <c r="M278" s="79"/>
      <c r="N278" s="79"/>
      <c r="O278" s="79"/>
      <c r="P278" s="79"/>
      <c r="Q278" s="79"/>
      <c r="R278" s="79"/>
      <c r="S278" s="79"/>
      <c r="T278" s="79"/>
      <c r="U278" s="79"/>
      <c r="V278" s="79"/>
      <c r="W278" s="79"/>
    </row>
    <row r="279" spans="1:23">
      <c r="A279" s="704" t="s">
        <v>399</v>
      </c>
      <c r="B279" s="704"/>
      <c r="C279" s="704"/>
      <c r="D279" s="704"/>
      <c r="E279" s="704"/>
      <c r="F279" s="704"/>
      <c r="G279" s="704"/>
      <c r="H279" s="704"/>
      <c r="I279" s="704"/>
      <c r="J279" s="704"/>
    </row>
    <row r="281" spans="1:23">
      <c r="A281" t="s">
        <v>480</v>
      </c>
    </row>
    <row r="282" spans="1:23">
      <c r="A282">
        <v>1</v>
      </c>
      <c r="B282" t="s">
        <v>490</v>
      </c>
    </row>
    <row r="283" spans="1:23">
      <c r="A283">
        <v>2</v>
      </c>
      <c r="B283" t="s">
        <v>491</v>
      </c>
    </row>
    <row r="284" spans="1:23">
      <c r="A284">
        <v>3</v>
      </c>
      <c r="B284" s="79" t="s">
        <v>536</v>
      </c>
    </row>
  </sheetData>
  <mergeCells count="3">
    <mergeCell ref="A122:J122"/>
    <mergeCell ref="A2:I2"/>
    <mergeCell ref="A279:J279"/>
  </mergeCells>
  <pageMargins left="0.7" right="0.7" top="0.75" bottom="0.75" header="0.3" footer="0.3"/>
  <pageSetup scale="52" orientation="portrait" r:id="rId1"/>
  <rowBreaks count="3" manualBreakCount="3">
    <brk id="73" max="9" man="1"/>
    <brk id="145" max="9" man="1"/>
    <brk id="228" max="9"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X610"/>
  <sheetViews>
    <sheetView view="pageBreakPreview" topLeftCell="A14" zoomScale="55" zoomScaleSheetLayoutView="55" workbookViewId="0">
      <selection activeCell="B17" sqref="B17"/>
    </sheetView>
  </sheetViews>
  <sheetFormatPr defaultRowHeight="15"/>
  <cols>
    <col min="1" max="1" width="39.42578125" customWidth="1"/>
    <col min="2" max="2" width="20" customWidth="1"/>
    <col min="3" max="3" width="16.85546875" customWidth="1"/>
    <col min="4" max="10" width="13.28515625" style="366" customWidth="1"/>
    <col min="11" max="11" width="12.85546875" customWidth="1"/>
    <col min="12" max="12" width="15" bestFit="1" customWidth="1"/>
    <col min="14" max="14" width="10.28515625" bestFit="1" customWidth="1"/>
    <col min="15" max="15" width="10" bestFit="1" customWidth="1"/>
    <col min="16" max="16" width="10.28515625" bestFit="1" customWidth="1"/>
    <col min="17" max="17" width="10" bestFit="1" customWidth="1"/>
  </cols>
  <sheetData>
    <row r="3" spans="1:9" ht="18.75">
      <c r="A3" s="703" t="s">
        <v>956</v>
      </c>
      <c r="B3" s="703"/>
      <c r="C3" s="703"/>
      <c r="D3" s="703"/>
      <c r="E3" s="703"/>
      <c r="F3" s="703"/>
      <c r="G3" s="703"/>
      <c r="H3" s="703"/>
    </row>
    <row r="4" spans="1:9" ht="18.75">
      <c r="A4" s="703" t="s">
        <v>524</v>
      </c>
      <c r="B4" s="703"/>
      <c r="C4" s="703"/>
      <c r="D4" s="703"/>
      <c r="E4" s="703"/>
      <c r="F4" s="703"/>
      <c r="G4" s="703"/>
      <c r="H4" s="703"/>
    </row>
    <row r="5" spans="1:9" ht="18.75">
      <c r="A5" s="567"/>
      <c r="B5" s="567"/>
      <c r="C5" s="567"/>
      <c r="D5" s="567"/>
      <c r="E5" s="567"/>
      <c r="F5" s="567"/>
      <c r="G5" s="567"/>
      <c r="H5" s="567"/>
    </row>
    <row r="6" spans="1:9" ht="37.5">
      <c r="A6" s="567"/>
      <c r="B6" s="567" t="s">
        <v>914</v>
      </c>
      <c r="C6" s="651" t="s">
        <v>937</v>
      </c>
      <c r="D6" s="567" t="s">
        <v>940</v>
      </c>
      <c r="E6" s="567"/>
      <c r="F6" s="567"/>
      <c r="G6" s="567"/>
      <c r="H6" s="567"/>
    </row>
    <row r="7" spans="1:9">
      <c r="A7" s="79" t="s">
        <v>156</v>
      </c>
      <c r="B7" s="207">
        <v>0.25</v>
      </c>
      <c r="C7" s="79">
        <v>1</v>
      </c>
      <c r="D7" s="94">
        <v>0.5</v>
      </c>
      <c r="E7" s="94" t="s">
        <v>955</v>
      </c>
      <c r="F7" s="94"/>
      <c r="G7" s="94"/>
      <c r="H7" s="94"/>
    </row>
    <row r="8" spans="1:9">
      <c r="A8" s="79" t="s">
        <v>157</v>
      </c>
      <c r="B8" s="239">
        <v>8</v>
      </c>
      <c r="C8" s="79"/>
      <c r="D8" s="94"/>
      <c r="E8" s="94"/>
      <c r="F8" s="94"/>
      <c r="G8" s="94"/>
      <c r="H8" s="94"/>
    </row>
    <row r="9" spans="1:9">
      <c r="A9" s="79"/>
      <c r="B9" s="239"/>
      <c r="C9" s="79"/>
      <c r="D9" s="94"/>
      <c r="E9" s="94"/>
      <c r="F9" s="94"/>
      <c r="G9" s="94"/>
      <c r="H9" s="94"/>
    </row>
    <row r="10" spans="1:9">
      <c r="A10" s="79"/>
      <c r="B10" s="239"/>
      <c r="C10" s="79"/>
      <c r="D10" s="94"/>
      <c r="E10" s="94"/>
      <c r="F10" s="94"/>
      <c r="G10" s="94"/>
      <c r="H10" s="94"/>
    </row>
    <row r="11" spans="1:9">
      <c r="A11" s="79"/>
      <c r="B11" s="79"/>
      <c r="C11" s="79"/>
      <c r="D11" s="94"/>
      <c r="E11" s="94"/>
      <c r="F11" s="94"/>
      <c r="G11" s="94"/>
      <c r="H11" s="94"/>
    </row>
    <row r="12" spans="1:9">
      <c r="A12" s="123" t="s">
        <v>0</v>
      </c>
      <c r="B12" s="123" t="s">
        <v>2</v>
      </c>
      <c r="C12" s="123" t="s">
        <v>3</v>
      </c>
      <c r="D12" s="123" t="s">
        <v>4</v>
      </c>
      <c r="E12" s="123" t="s">
        <v>5</v>
      </c>
      <c r="F12" s="123" t="s">
        <v>6</v>
      </c>
      <c r="G12" s="123" t="s">
        <v>163</v>
      </c>
      <c r="H12" s="123" t="s">
        <v>162</v>
      </c>
      <c r="I12" s="418"/>
    </row>
    <row r="13" spans="1:9">
      <c r="A13" s="315" t="s">
        <v>954</v>
      </c>
      <c r="B13" s="648"/>
      <c r="C13" s="648"/>
      <c r="D13" s="650"/>
      <c r="E13" s="650"/>
      <c r="F13" s="650"/>
      <c r="G13" s="650"/>
      <c r="H13" s="650"/>
      <c r="I13" s="418"/>
    </row>
    <row r="14" spans="1:9">
      <c r="A14" s="773" t="s">
        <v>939</v>
      </c>
      <c r="B14" s="774"/>
      <c r="C14" s="774"/>
      <c r="D14" s="774"/>
      <c r="E14" s="774"/>
      <c r="F14" s="774"/>
      <c r="G14" s="774"/>
      <c r="H14" s="774"/>
      <c r="I14" s="418"/>
    </row>
    <row r="15" spans="1:9">
      <c r="A15" s="316" t="s">
        <v>639</v>
      </c>
      <c r="B15" s="328">
        <f>+C7*$B$8*300</f>
        <v>2400</v>
      </c>
      <c r="C15" s="328">
        <f>+B15</f>
        <v>2400</v>
      </c>
      <c r="D15" s="328">
        <f t="shared" ref="D15:H15" si="0">+C15</f>
        <v>2400</v>
      </c>
      <c r="E15" s="328">
        <f t="shared" si="0"/>
        <v>2400</v>
      </c>
      <c r="F15" s="328">
        <f t="shared" si="0"/>
        <v>2400</v>
      </c>
      <c r="G15" s="328">
        <f t="shared" si="0"/>
        <v>2400</v>
      </c>
      <c r="H15" s="328">
        <f t="shared" si="0"/>
        <v>2400</v>
      </c>
      <c r="I15" s="418"/>
    </row>
    <row r="16" spans="1:9">
      <c r="A16" s="316" t="s">
        <v>986</v>
      </c>
      <c r="B16" s="328">
        <f>B15*0.7</f>
        <v>1680</v>
      </c>
      <c r="C16" s="328">
        <f t="shared" ref="C16:C17" si="1">+B16</f>
        <v>1680</v>
      </c>
      <c r="D16" s="420">
        <f t="shared" ref="D16:D17" si="2">+C16</f>
        <v>1680</v>
      </c>
      <c r="E16" s="420">
        <f t="shared" ref="E16:E17" si="3">+D16</f>
        <v>1680</v>
      </c>
      <c r="F16" s="420">
        <f t="shared" ref="F16:F17" si="4">+E16</f>
        <v>1680</v>
      </c>
      <c r="G16" s="420">
        <f t="shared" ref="G16:G17" si="5">+F16</f>
        <v>1680</v>
      </c>
      <c r="H16" s="420">
        <f t="shared" ref="H16:H17" si="6">+G16</f>
        <v>1680</v>
      </c>
      <c r="I16" s="418"/>
    </row>
    <row r="17" spans="1:16">
      <c r="A17" s="316" t="s">
        <v>987</v>
      </c>
      <c r="B17" s="328">
        <f>+B15-B16</f>
        <v>720</v>
      </c>
      <c r="C17" s="328">
        <f t="shared" si="1"/>
        <v>720</v>
      </c>
      <c r="D17" s="420">
        <f t="shared" si="2"/>
        <v>720</v>
      </c>
      <c r="E17" s="420">
        <f t="shared" si="3"/>
        <v>720</v>
      </c>
      <c r="F17" s="420">
        <f t="shared" si="4"/>
        <v>720</v>
      </c>
      <c r="G17" s="420">
        <f t="shared" si="5"/>
        <v>720</v>
      </c>
      <c r="H17" s="420">
        <f t="shared" si="6"/>
        <v>720</v>
      </c>
      <c r="I17" s="418"/>
    </row>
    <row r="18" spans="1:16">
      <c r="A18" s="316" t="s">
        <v>626</v>
      </c>
      <c r="B18" s="584">
        <v>0.5</v>
      </c>
      <c r="C18" s="584">
        <f>+B18+0.05</f>
        <v>0.55000000000000004</v>
      </c>
      <c r="D18" s="584">
        <f t="shared" ref="D18:H19" si="7">+C18+0.05</f>
        <v>0.60000000000000009</v>
      </c>
      <c r="E18" s="584">
        <f t="shared" si="7"/>
        <v>0.65000000000000013</v>
      </c>
      <c r="F18" s="584">
        <f t="shared" si="7"/>
        <v>0.70000000000000018</v>
      </c>
      <c r="G18" s="584">
        <f t="shared" si="7"/>
        <v>0.75000000000000022</v>
      </c>
      <c r="H18" s="584">
        <f t="shared" si="7"/>
        <v>0.80000000000000027</v>
      </c>
      <c r="I18" s="418"/>
    </row>
    <row r="19" spans="1:16">
      <c r="A19" s="316" t="s">
        <v>627</v>
      </c>
      <c r="B19" s="584">
        <v>0.5</v>
      </c>
      <c r="C19" s="584">
        <f>+B19+0.05</f>
        <v>0.55000000000000004</v>
      </c>
      <c r="D19" s="584">
        <f t="shared" si="7"/>
        <v>0.60000000000000009</v>
      </c>
      <c r="E19" s="584">
        <f t="shared" si="7"/>
        <v>0.65000000000000013</v>
      </c>
      <c r="F19" s="584">
        <f t="shared" si="7"/>
        <v>0.70000000000000018</v>
      </c>
      <c r="G19" s="584">
        <f t="shared" si="7"/>
        <v>0.75000000000000022</v>
      </c>
      <c r="H19" s="584">
        <f t="shared" si="7"/>
        <v>0.80000000000000027</v>
      </c>
      <c r="I19" s="418"/>
    </row>
    <row r="20" spans="1:16">
      <c r="A20" s="655"/>
      <c r="B20" s="649"/>
      <c r="C20" s="649"/>
      <c r="D20" s="650"/>
      <c r="E20" s="650"/>
      <c r="F20" s="650"/>
      <c r="G20" s="650"/>
      <c r="H20" s="650"/>
      <c r="I20" s="418"/>
    </row>
    <row r="21" spans="1:16">
      <c r="A21" s="318" t="s">
        <v>628</v>
      </c>
      <c r="B21" s="317"/>
      <c r="C21" s="317"/>
      <c r="D21" s="345"/>
      <c r="E21" s="345"/>
      <c r="F21" s="345"/>
      <c r="G21" s="345"/>
      <c r="H21" s="345"/>
      <c r="I21" s="418"/>
    </row>
    <row r="22" spans="1:16">
      <c r="A22" s="317" t="s">
        <v>642</v>
      </c>
      <c r="B22" s="317">
        <f t="shared" ref="B22:H22" si="8">B16*B18</f>
        <v>840</v>
      </c>
      <c r="C22" s="317">
        <f t="shared" si="8"/>
        <v>924.00000000000011</v>
      </c>
      <c r="D22" s="345">
        <f t="shared" si="8"/>
        <v>1008.0000000000001</v>
      </c>
      <c r="E22" s="345">
        <f t="shared" si="8"/>
        <v>1092.0000000000002</v>
      </c>
      <c r="F22" s="345">
        <f t="shared" si="8"/>
        <v>1176.0000000000002</v>
      </c>
      <c r="G22" s="345">
        <f t="shared" si="8"/>
        <v>1260.0000000000005</v>
      </c>
      <c r="H22" s="345">
        <f t="shared" si="8"/>
        <v>1344.0000000000005</v>
      </c>
      <c r="I22" s="418"/>
    </row>
    <row r="23" spans="1:16">
      <c r="A23" s="329" t="s">
        <v>643</v>
      </c>
      <c r="B23" s="585">
        <v>600</v>
      </c>
      <c r="C23" s="585">
        <f>+B23*1.05</f>
        <v>630</v>
      </c>
      <c r="D23" s="585">
        <f t="shared" ref="D23:H23" si="9">+C23*1.05</f>
        <v>661.5</v>
      </c>
      <c r="E23" s="585">
        <f t="shared" si="9"/>
        <v>694.57500000000005</v>
      </c>
      <c r="F23" s="585">
        <f t="shared" si="9"/>
        <v>729.30375000000004</v>
      </c>
      <c r="G23" s="585">
        <f t="shared" si="9"/>
        <v>765.76893750000011</v>
      </c>
      <c r="H23" s="585">
        <f t="shared" si="9"/>
        <v>804.0573843750002</v>
      </c>
      <c r="I23" s="418"/>
    </row>
    <row r="24" spans="1:16">
      <c r="A24" s="331" t="s">
        <v>629</v>
      </c>
      <c r="B24" s="332">
        <f t="shared" ref="B24:H24" si="10">B22*B23/100000</f>
        <v>5.04</v>
      </c>
      <c r="C24" s="332">
        <f t="shared" si="10"/>
        <v>5.821200000000001</v>
      </c>
      <c r="D24" s="422">
        <f t="shared" si="10"/>
        <v>6.6679200000000014</v>
      </c>
      <c r="E24" s="422">
        <f t="shared" si="10"/>
        <v>7.5847590000000027</v>
      </c>
      <c r="F24" s="422">
        <f t="shared" si="10"/>
        <v>8.576612100000002</v>
      </c>
      <c r="G24" s="422">
        <f t="shared" si="10"/>
        <v>9.6486886125000062</v>
      </c>
      <c r="H24" s="422">
        <f t="shared" si="10"/>
        <v>10.806531246000008</v>
      </c>
      <c r="I24" s="418"/>
    </row>
    <row r="25" spans="1:16">
      <c r="A25" s="655"/>
      <c r="B25" s="649"/>
      <c r="C25" s="649"/>
      <c r="D25" s="650"/>
      <c r="E25" s="650"/>
      <c r="F25" s="650"/>
      <c r="G25" s="650"/>
      <c r="H25" s="650"/>
      <c r="I25" s="418"/>
    </row>
    <row r="26" spans="1:16">
      <c r="A26" s="331" t="s">
        <v>630</v>
      </c>
      <c r="B26" s="332"/>
      <c r="C26" s="332"/>
      <c r="D26" s="422"/>
      <c r="E26" s="422"/>
      <c r="F26" s="422"/>
      <c r="G26" s="422"/>
      <c r="H26" s="422"/>
      <c r="I26" s="418"/>
    </row>
    <row r="27" spans="1:16">
      <c r="A27" s="331"/>
      <c r="B27" s="332"/>
      <c r="C27" s="332"/>
      <c r="D27" s="422"/>
      <c r="E27" s="422"/>
      <c r="F27" s="422"/>
      <c r="G27" s="422"/>
      <c r="H27" s="422"/>
      <c r="I27" s="418"/>
    </row>
    <row r="28" spans="1:16">
      <c r="A28" s="331" t="s">
        <v>968</v>
      </c>
      <c r="B28" s="332">
        <f>+B68/95%</f>
        <v>27.368421052631579</v>
      </c>
      <c r="C28" s="332">
        <f t="shared" ref="C28:H28" si="11">+C68/95%</f>
        <v>30.526315789473685</v>
      </c>
      <c r="D28" s="332">
        <f t="shared" si="11"/>
        <v>32.631578947368425</v>
      </c>
      <c r="E28" s="332">
        <f t="shared" si="11"/>
        <v>35.789473684210527</v>
      </c>
      <c r="F28" s="332">
        <f t="shared" si="11"/>
        <v>37.894736842105267</v>
      </c>
      <c r="G28" s="332">
        <f t="shared" si="11"/>
        <v>40</v>
      </c>
      <c r="H28" s="332">
        <f t="shared" si="11"/>
        <v>43.15789473684211</v>
      </c>
      <c r="I28" s="418">
        <f>+B28/$B$32</f>
        <v>7.6023391812865493E-2</v>
      </c>
      <c r="J28" s="366">
        <f t="shared" ref="J28:K31" si="12">+$I28*B$22</f>
        <v>63.859649122807014</v>
      </c>
      <c r="K28" s="366">
        <f t="shared" si="12"/>
        <v>70.245614035087726</v>
      </c>
      <c r="L28" s="366">
        <f t="shared" ref="L28:P28" si="13">+$I28*D$22</f>
        <v>76.631578947368425</v>
      </c>
      <c r="M28" s="366">
        <f t="shared" si="13"/>
        <v>83.017543859649138</v>
      </c>
      <c r="N28" s="366">
        <f t="shared" si="13"/>
        <v>89.403508771929836</v>
      </c>
      <c r="O28" s="366">
        <f t="shared" si="13"/>
        <v>95.789473684210549</v>
      </c>
      <c r="P28" s="366">
        <f t="shared" si="13"/>
        <v>102.17543859649126</v>
      </c>
    </row>
    <row r="29" spans="1:16">
      <c r="A29" s="331" t="s">
        <v>969</v>
      </c>
      <c r="B29" s="332">
        <f>+B69/95%</f>
        <v>13.684210526315789</v>
      </c>
      <c r="C29" s="332">
        <f t="shared" ref="C29:H29" si="14">+C69/95%</f>
        <v>14.736842105263159</v>
      </c>
      <c r="D29" s="332">
        <f t="shared" si="14"/>
        <v>16.842105263157894</v>
      </c>
      <c r="E29" s="332">
        <f t="shared" si="14"/>
        <v>17.894736842105264</v>
      </c>
      <c r="F29" s="332">
        <f t="shared" si="14"/>
        <v>18.947368421052634</v>
      </c>
      <c r="G29" s="332">
        <f t="shared" si="14"/>
        <v>20</v>
      </c>
      <c r="H29" s="332">
        <f t="shared" si="14"/>
        <v>21.05263157894737</v>
      </c>
      <c r="I29" s="418">
        <f t="shared" ref="I29:I31" si="15">+B29/$B$32</f>
        <v>3.8011695906432746E-2</v>
      </c>
      <c r="J29" s="366">
        <f t="shared" si="12"/>
        <v>31.929824561403507</v>
      </c>
      <c r="K29" s="366">
        <f t="shared" si="12"/>
        <v>35.122807017543863</v>
      </c>
      <c r="L29" s="366">
        <f t="shared" ref="L29" si="16">+$I29*D$22</f>
        <v>38.315789473684212</v>
      </c>
      <c r="M29" s="366">
        <f t="shared" ref="M29" si="17">+$I29*E$22</f>
        <v>41.508771929824569</v>
      </c>
      <c r="N29" s="366">
        <f t="shared" ref="N29" si="18">+$I29*F$22</f>
        <v>44.701754385964918</v>
      </c>
      <c r="O29" s="366">
        <f t="shared" ref="O29" si="19">+$I29*G$22</f>
        <v>47.894736842105274</v>
      </c>
      <c r="P29" s="366">
        <f t="shared" ref="P29" si="20">+$I29*H$22</f>
        <v>51.087719298245631</v>
      </c>
    </row>
    <row r="30" spans="1:16">
      <c r="A30" s="331" t="s">
        <v>877</v>
      </c>
      <c r="B30" s="332">
        <f>+B70/95%</f>
        <v>96.842105263157904</v>
      </c>
      <c r="C30" s="332">
        <f t="shared" ref="C30:H30" si="21">+C70/95%</f>
        <v>106.31578947368422</v>
      </c>
      <c r="D30" s="332">
        <f t="shared" si="21"/>
        <v>114.73684210526316</v>
      </c>
      <c r="E30" s="332">
        <f t="shared" si="21"/>
        <v>124.21052631578948</v>
      </c>
      <c r="F30" s="332">
        <f t="shared" si="21"/>
        <v>132.63157894736844</v>
      </c>
      <c r="G30" s="332">
        <f t="shared" si="21"/>
        <v>141.05263157894737</v>
      </c>
      <c r="H30" s="332">
        <f t="shared" si="21"/>
        <v>150.5263157894737</v>
      </c>
      <c r="I30" s="418">
        <f t="shared" si="15"/>
        <v>0.26900584795321641</v>
      </c>
      <c r="J30" s="366">
        <f t="shared" si="12"/>
        <v>225.96491228070178</v>
      </c>
      <c r="K30" s="366">
        <f t="shared" si="12"/>
        <v>248.561403508772</v>
      </c>
      <c r="L30" s="366">
        <f t="shared" ref="L30" si="22">+$I30*D$22</f>
        <v>271.1578947368422</v>
      </c>
      <c r="M30" s="366">
        <f t="shared" ref="M30" si="23">+$I30*E$22</f>
        <v>293.75438596491239</v>
      </c>
      <c r="N30" s="366">
        <f t="shared" ref="N30" si="24">+$I30*F$22</f>
        <v>316.35087719298258</v>
      </c>
      <c r="O30" s="366">
        <f t="shared" ref="O30" si="25">+$I30*G$22</f>
        <v>338.94736842105283</v>
      </c>
      <c r="P30" s="366">
        <f t="shared" ref="P30" si="26">+$I30*H$22</f>
        <v>361.54385964912296</v>
      </c>
    </row>
    <row r="31" spans="1:16">
      <c r="A31" s="331" t="s">
        <v>947</v>
      </c>
      <c r="B31" s="332">
        <f>+B32-SUM(B28:B30)</f>
        <v>222.10526315789474</v>
      </c>
      <c r="C31" s="332">
        <f t="shared" ref="C31:H31" si="27">+C32-SUM(C28:C30)</f>
        <v>244.42105263157899</v>
      </c>
      <c r="D31" s="332">
        <f t="shared" si="27"/>
        <v>267.78947368421058</v>
      </c>
      <c r="E31" s="332">
        <f t="shared" si="27"/>
        <v>290.10526315789485</v>
      </c>
      <c r="F31" s="332">
        <f t="shared" si="27"/>
        <v>314.52631578947376</v>
      </c>
      <c r="G31" s="332">
        <f t="shared" si="27"/>
        <v>338.94736842105272</v>
      </c>
      <c r="H31" s="332">
        <f t="shared" si="27"/>
        <v>361.26315789473705</v>
      </c>
      <c r="I31" s="418">
        <f t="shared" si="15"/>
        <v>0.61695906432748537</v>
      </c>
      <c r="J31" s="366">
        <f t="shared" si="12"/>
        <v>518.24561403508767</v>
      </c>
      <c r="K31" s="366">
        <f t="shared" si="12"/>
        <v>570.07017543859661</v>
      </c>
      <c r="L31" s="366">
        <f t="shared" ref="L31" si="28">+$I31*D$22</f>
        <v>621.89473684210532</v>
      </c>
      <c r="M31" s="366">
        <f t="shared" ref="M31" si="29">+$I31*E$22</f>
        <v>673.71929824561414</v>
      </c>
      <c r="N31" s="366">
        <f t="shared" ref="N31" si="30">+$I31*F$22</f>
        <v>725.54385964912296</v>
      </c>
      <c r="O31" s="366">
        <f t="shared" ref="O31" si="31">+$I31*G$22</f>
        <v>777.3684210526319</v>
      </c>
      <c r="P31" s="366">
        <f t="shared" ref="P31" si="32">+$I31*H$22</f>
        <v>829.19298245614061</v>
      </c>
    </row>
    <row r="32" spans="1:16">
      <c r="A32" s="586" t="s">
        <v>846</v>
      </c>
      <c r="B32" s="317">
        <f>+B17*B19</f>
        <v>360</v>
      </c>
      <c r="C32" s="317">
        <f t="shared" ref="C32:H32" si="33">+C17*C19</f>
        <v>396.00000000000006</v>
      </c>
      <c r="D32" s="317">
        <f t="shared" si="33"/>
        <v>432.00000000000006</v>
      </c>
      <c r="E32" s="317">
        <f t="shared" si="33"/>
        <v>468.00000000000011</v>
      </c>
      <c r="F32" s="317">
        <f t="shared" si="33"/>
        <v>504.00000000000011</v>
      </c>
      <c r="G32" s="317">
        <f t="shared" si="33"/>
        <v>540.00000000000011</v>
      </c>
      <c r="H32" s="317">
        <f t="shared" si="33"/>
        <v>576.00000000000023</v>
      </c>
      <c r="I32" s="418"/>
    </row>
    <row r="33" spans="1:12">
      <c r="A33" s="655"/>
      <c r="B33" s="649"/>
      <c r="C33" s="649"/>
      <c r="D33" s="650"/>
      <c r="E33" s="650"/>
      <c r="F33" s="650"/>
      <c r="G33" s="650"/>
      <c r="H33" s="650"/>
      <c r="I33" s="418"/>
    </row>
    <row r="34" spans="1:12">
      <c r="A34" s="589" t="s">
        <v>957</v>
      </c>
      <c r="B34" s="649"/>
      <c r="C34" s="649"/>
      <c r="D34" s="650"/>
      <c r="E34" s="650"/>
      <c r="F34" s="650"/>
      <c r="G34" s="650"/>
      <c r="H34" s="650"/>
      <c r="I34" s="418"/>
    </row>
    <row r="35" spans="1:12">
      <c r="A35" s="655"/>
      <c r="B35" s="649"/>
      <c r="C35" s="649"/>
      <c r="D35" s="650"/>
      <c r="E35" s="650"/>
      <c r="F35" s="650"/>
      <c r="G35" s="650"/>
      <c r="H35" s="650"/>
      <c r="I35" s="418"/>
    </row>
    <row r="36" spans="1:12">
      <c r="A36" s="655" t="s">
        <v>958</v>
      </c>
      <c r="B36" s="656">
        <f>+B39-B37-B38</f>
        <v>64.56</v>
      </c>
      <c r="C36" s="656">
        <f t="shared" ref="C36:H36" si="34">+C39-C37-C38</f>
        <v>70.720000000000027</v>
      </c>
      <c r="D36" s="656">
        <f t="shared" si="34"/>
        <v>79.880000000000038</v>
      </c>
      <c r="E36" s="656">
        <f t="shared" si="34"/>
        <v>86.040000000000106</v>
      </c>
      <c r="F36" s="656">
        <f t="shared" si="34"/>
        <v>97.200000000000045</v>
      </c>
      <c r="G36" s="656">
        <f t="shared" si="34"/>
        <v>107.36000000000004</v>
      </c>
      <c r="H36" s="656">
        <f t="shared" si="34"/>
        <v>114.52000000000015</v>
      </c>
      <c r="I36" s="418">
        <v>0.28999999999999998</v>
      </c>
      <c r="J36" s="366">
        <f>+B36/$B$39</f>
        <v>0.29067298578199052</v>
      </c>
      <c r="L36">
        <v>16000</v>
      </c>
    </row>
    <row r="37" spans="1:12">
      <c r="A37" s="655" t="s">
        <v>959</v>
      </c>
      <c r="B37" s="650">
        <f t="shared" ref="B37:H37" si="35">+B96</f>
        <v>146.44</v>
      </c>
      <c r="C37" s="650">
        <f t="shared" si="35"/>
        <v>161.48000000000002</v>
      </c>
      <c r="D37" s="650">
        <f t="shared" si="35"/>
        <v>174.52</v>
      </c>
      <c r="E37" s="650">
        <f t="shared" si="35"/>
        <v>189.56</v>
      </c>
      <c r="F37" s="650">
        <f t="shared" si="35"/>
        <v>201.60000000000002</v>
      </c>
      <c r="G37" s="650">
        <f t="shared" si="35"/>
        <v>214.64000000000004</v>
      </c>
      <c r="H37" s="650">
        <f t="shared" si="35"/>
        <v>228.68000000000004</v>
      </c>
      <c r="I37" s="418">
        <v>0.66</v>
      </c>
      <c r="J37" s="366">
        <f>+B37/$B$39</f>
        <v>0.65932701421800943</v>
      </c>
      <c r="L37" s="27">
        <f>+L36*B36</f>
        <v>1032960</v>
      </c>
    </row>
    <row r="38" spans="1:12">
      <c r="A38" s="655" t="s">
        <v>647</v>
      </c>
      <c r="B38" s="656">
        <f>+B31*$I$38</f>
        <v>11.105263157894738</v>
      </c>
      <c r="C38" s="656">
        <f t="shared" ref="C38:H38" si="36">+C31*$I$38</f>
        <v>12.221052631578949</v>
      </c>
      <c r="D38" s="656">
        <f t="shared" si="36"/>
        <v>13.389473684210529</v>
      </c>
      <c r="E38" s="656">
        <f t="shared" si="36"/>
        <v>14.505263157894744</v>
      </c>
      <c r="F38" s="656">
        <f t="shared" si="36"/>
        <v>15.726315789473688</v>
      </c>
      <c r="G38" s="656">
        <f t="shared" si="36"/>
        <v>16.947368421052637</v>
      </c>
      <c r="H38" s="656">
        <f t="shared" si="36"/>
        <v>18.063157894736854</v>
      </c>
      <c r="I38" s="418">
        <v>0.05</v>
      </c>
      <c r="J38" s="366">
        <f>+B38/$B$39</f>
        <v>0.05</v>
      </c>
      <c r="K38" s="27"/>
    </row>
    <row r="39" spans="1:12">
      <c r="A39" s="655"/>
      <c r="B39" s="656">
        <f>+B31</f>
        <v>222.10526315789474</v>
      </c>
      <c r="C39" s="656">
        <f t="shared" ref="C39:H39" si="37">+C31</f>
        <v>244.42105263157899</v>
      </c>
      <c r="D39" s="656">
        <f t="shared" si="37"/>
        <v>267.78947368421058</v>
      </c>
      <c r="E39" s="656">
        <f t="shared" si="37"/>
        <v>290.10526315789485</v>
      </c>
      <c r="F39" s="656">
        <f t="shared" si="37"/>
        <v>314.52631578947376</v>
      </c>
      <c r="G39" s="656">
        <f t="shared" si="37"/>
        <v>338.94736842105272</v>
      </c>
      <c r="H39" s="656">
        <f t="shared" si="37"/>
        <v>361.26315789473705</v>
      </c>
      <c r="I39" s="418"/>
    </row>
    <row r="40" spans="1:12">
      <c r="A40" s="655"/>
      <c r="B40" s="656"/>
      <c r="C40" s="656"/>
      <c r="D40" s="656"/>
      <c r="E40" s="656"/>
      <c r="F40" s="656"/>
      <c r="G40" s="656"/>
      <c r="H40" s="656"/>
      <c r="I40" s="418"/>
    </row>
    <row r="41" spans="1:12">
      <c r="A41" s="589" t="s">
        <v>970</v>
      </c>
      <c r="B41" s="656"/>
      <c r="C41" s="656"/>
      <c r="D41" s="656"/>
      <c r="E41" s="656"/>
      <c r="F41" s="656"/>
      <c r="G41" s="656"/>
      <c r="H41" s="656"/>
      <c r="I41" s="418"/>
    </row>
    <row r="42" spans="1:12" ht="19.5">
      <c r="A42" s="660" t="s">
        <v>971</v>
      </c>
      <c r="B42" s="656"/>
      <c r="C42" s="656"/>
      <c r="D42" s="656"/>
      <c r="E42" s="656"/>
      <c r="F42" s="656"/>
      <c r="G42" s="656"/>
      <c r="H42" s="656"/>
      <c r="I42" s="418"/>
    </row>
    <row r="43" spans="1:12">
      <c r="A43" s="655" t="str">
        <f>+A28</f>
        <v xml:space="preserve">Flax </v>
      </c>
      <c r="B43" s="656">
        <f t="shared" ref="B43:H45" si="38">+B28*$I$43</f>
        <v>26</v>
      </c>
      <c r="C43" s="656">
        <f t="shared" si="38"/>
        <v>29</v>
      </c>
      <c r="D43" s="656">
        <f t="shared" si="38"/>
        <v>31.000000000000004</v>
      </c>
      <c r="E43" s="656">
        <f t="shared" si="38"/>
        <v>34</v>
      </c>
      <c r="F43" s="656">
        <f t="shared" si="38"/>
        <v>36</v>
      </c>
      <c r="G43" s="656">
        <f t="shared" si="38"/>
        <v>38</v>
      </c>
      <c r="H43" s="656">
        <f t="shared" si="38"/>
        <v>41</v>
      </c>
      <c r="I43" s="418">
        <v>0.95</v>
      </c>
    </row>
    <row r="44" spans="1:12">
      <c r="A44" s="655" t="str">
        <f>+A29</f>
        <v>Safflower</v>
      </c>
      <c r="B44" s="656">
        <f t="shared" si="38"/>
        <v>13</v>
      </c>
      <c r="C44" s="656">
        <f t="shared" si="38"/>
        <v>14</v>
      </c>
      <c r="D44" s="656">
        <f t="shared" si="38"/>
        <v>15.999999999999998</v>
      </c>
      <c r="E44" s="656">
        <f t="shared" si="38"/>
        <v>17</v>
      </c>
      <c r="F44" s="656">
        <f t="shared" si="38"/>
        <v>18</v>
      </c>
      <c r="G44" s="656">
        <f t="shared" si="38"/>
        <v>19</v>
      </c>
      <c r="H44" s="656">
        <f t="shared" si="38"/>
        <v>20</v>
      </c>
      <c r="I44" s="418">
        <v>0.95</v>
      </c>
    </row>
    <row r="45" spans="1:12">
      <c r="A45" s="655" t="str">
        <f>+A30</f>
        <v>Mustered</v>
      </c>
      <c r="B45" s="656">
        <f t="shared" si="38"/>
        <v>92</v>
      </c>
      <c r="C45" s="656">
        <f t="shared" si="38"/>
        <v>101</v>
      </c>
      <c r="D45" s="656">
        <f t="shared" si="38"/>
        <v>109</v>
      </c>
      <c r="E45" s="656">
        <f t="shared" si="38"/>
        <v>118</v>
      </c>
      <c r="F45" s="656">
        <f t="shared" si="38"/>
        <v>126.00000000000001</v>
      </c>
      <c r="G45" s="656">
        <f t="shared" si="38"/>
        <v>134</v>
      </c>
      <c r="H45" s="656">
        <f t="shared" si="38"/>
        <v>143</v>
      </c>
      <c r="I45" s="418">
        <v>0.95</v>
      </c>
    </row>
    <row r="46" spans="1:12">
      <c r="A46" s="655"/>
      <c r="B46" s="656"/>
      <c r="C46" s="656"/>
      <c r="D46" s="656"/>
      <c r="E46" s="656"/>
      <c r="F46" s="656"/>
      <c r="G46" s="656"/>
      <c r="H46" s="656"/>
      <c r="I46" s="418"/>
    </row>
    <row r="47" spans="1:12">
      <c r="A47" s="657"/>
      <c r="B47" s="658"/>
      <c r="C47" s="658"/>
      <c r="D47" s="659"/>
      <c r="E47" s="659"/>
      <c r="F47" s="659"/>
      <c r="G47" s="659"/>
      <c r="H47" s="659"/>
      <c r="I47" s="418"/>
    </row>
    <row r="48" spans="1:12">
      <c r="A48" s="315" t="s">
        <v>933</v>
      </c>
      <c r="B48" s="649"/>
      <c r="C48" s="649"/>
      <c r="D48" s="650"/>
      <c r="E48" s="650"/>
      <c r="F48" s="650"/>
      <c r="G48" s="650"/>
      <c r="H48" s="650"/>
      <c r="I48" s="418"/>
    </row>
    <row r="49" spans="1:24">
      <c r="A49" s="773" t="s">
        <v>938</v>
      </c>
      <c r="B49" s="774"/>
      <c r="C49" s="774"/>
      <c r="D49" s="774"/>
      <c r="E49" s="774"/>
      <c r="F49" s="774"/>
      <c r="G49" s="774"/>
      <c r="H49" s="774"/>
      <c r="I49" s="418"/>
    </row>
    <row r="50" spans="1:24">
      <c r="A50" s="316" t="s">
        <v>639</v>
      </c>
      <c r="B50" s="328">
        <f t="shared" ref="B50:H50" si="39">+$B$7*$B$8*300</f>
        <v>600</v>
      </c>
      <c r="C50" s="328">
        <f t="shared" si="39"/>
        <v>600</v>
      </c>
      <c r="D50" s="328">
        <f t="shared" si="39"/>
        <v>600</v>
      </c>
      <c r="E50" s="328">
        <f t="shared" si="39"/>
        <v>600</v>
      </c>
      <c r="F50" s="328">
        <f t="shared" si="39"/>
        <v>600</v>
      </c>
      <c r="G50" s="328">
        <f t="shared" si="39"/>
        <v>600</v>
      </c>
      <c r="H50" s="328">
        <f t="shared" si="39"/>
        <v>600</v>
      </c>
      <c r="I50" s="418"/>
    </row>
    <row r="51" spans="1:24">
      <c r="A51" s="316" t="s">
        <v>640</v>
      </c>
      <c r="B51" s="328">
        <f>B50*0.6</f>
        <v>360</v>
      </c>
      <c r="C51" s="328">
        <f t="shared" ref="C51:H52" si="40">+B51</f>
        <v>360</v>
      </c>
      <c r="D51" s="420">
        <f t="shared" si="40"/>
        <v>360</v>
      </c>
      <c r="E51" s="420">
        <f t="shared" si="40"/>
        <v>360</v>
      </c>
      <c r="F51" s="420">
        <f t="shared" si="40"/>
        <v>360</v>
      </c>
      <c r="G51" s="420">
        <f t="shared" si="40"/>
        <v>360</v>
      </c>
      <c r="H51" s="420">
        <f t="shared" si="40"/>
        <v>360</v>
      </c>
      <c r="I51" s="418"/>
    </row>
    <row r="52" spans="1:24">
      <c r="A52" s="316" t="s">
        <v>641</v>
      </c>
      <c r="B52" s="328">
        <f>+B50-B51</f>
        <v>240</v>
      </c>
      <c r="C52" s="328">
        <f t="shared" si="40"/>
        <v>240</v>
      </c>
      <c r="D52" s="420">
        <f t="shared" si="40"/>
        <v>240</v>
      </c>
      <c r="E52" s="420">
        <f t="shared" si="40"/>
        <v>240</v>
      </c>
      <c r="F52" s="420">
        <f t="shared" si="40"/>
        <v>240</v>
      </c>
      <c r="G52" s="420">
        <f t="shared" si="40"/>
        <v>240</v>
      </c>
      <c r="H52" s="420">
        <f t="shared" si="40"/>
        <v>240</v>
      </c>
      <c r="I52" s="418"/>
    </row>
    <row r="53" spans="1:24">
      <c r="A53" s="316" t="s">
        <v>626</v>
      </c>
      <c r="B53" s="584">
        <f>+'Input Sheet'!C24</f>
        <v>0.55000000000000004</v>
      </c>
      <c r="C53" s="584">
        <f>+'Input Sheet'!D24</f>
        <v>0.60000000000000009</v>
      </c>
      <c r="D53" s="584">
        <f>+'Input Sheet'!E24</f>
        <v>0.65000000000000013</v>
      </c>
      <c r="E53" s="584">
        <f>+'Input Sheet'!F24</f>
        <v>0.70000000000000018</v>
      </c>
      <c r="F53" s="584">
        <f>+'Input Sheet'!G24</f>
        <v>0.75000000000000022</v>
      </c>
      <c r="G53" s="584">
        <f>+'Input Sheet'!H24</f>
        <v>0.80000000000000027</v>
      </c>
      <c r="H53" s="584">
        <f>+'Input Sheet'!I24</f>
        <v>0.85000000000000031</v>
      </c>
      <c r="I53" s="418"/>
      <c r="Q53" s="27">
        <f>+J68+J28</f>
        <v>103.45964912280702</v>
      </c>
      <c r="R53" s="27">
        <f t="shared" ref="R53:W53" si="41">+K68+K28</f>
        <v>113.44561403508774</v>
      </c>
      <c r="S53" s="27">
        <f t="shared" si="41"/>
        <v>123.43157894736844</v>
      </c>
      <c r="T53" s="27">
        <f t="shared" si="41"/>
        <v>133.41754385964916</v>
      </c>
      <c r="U53" s="27">
        <f t="shared" si="41"/>
        <v>143.40350877192986</v>
      </c>
      <c r="V53" s="27">
        <f t="shared" si="41"/>
        <v>153.38947368421057</v>
      </c>
      <c r="W53" s="27">
        <f t="shared" si="41"/>
        <v>163.37543859649128</v>
      </c>
      <c r="X53" s="27"/>
    </row>
    <row r="54" spans="1:24">
      <c r="A54" s="316" t="s">
        <v>627</v>
      </c>
      <c r="B54" s="584">
        <f>+'Input Sheet'!C25</f>
        <v>0.55000000000000004</v>
      </c>
      <c r="C54" s="584">
        <f>+'Input Sheet'!D25</f>
        <v>0.60000000000000009</v>
      </c>
      <c r="D54" s="584">
        <f>+'Input Sheet'!E25</f>
        <v>0.65000000000000013</v>
      </c>
      <c r="E54" s="584">
        <f>+'Input Sheet'!F25</f>
        <v>0.70000000000000018</v>
      </c>
      <c r="F54" s="584">
        <f>+'Input Sheet'!G25</f>
        <v>0.75000000000000022</v>
      </c>
      <c r="G54" s="584">
        <f>+'Input Sheet'!H25</f>
        <v>0.80000000000000027</v>
      </c>
      <c r="H54" s="584">
        <f>+'Input Sheet'!I25</f>
        <v>0.85000000000000031</v>
      </c>
      <c r="I54" s="418"/>
      <c r="Q54" s="27">
        <f>+J69+J29</f>
        <v>51.729824561403511</v>
      </c>
      <c r="R54" s="27">
        <f t="shared" ref="R54:W54" si="42">+K69+K29</f>
        <v>56.722807017543872</v>
      </c>
      <c r="S54" s="27">
        <f t="shared" si="42"/>
        <v>61.715789473684218</v>
      </c>
      <c r="T54" s="27">
        <f t="shared" si="42"/>
        <v>66.708771929824579</v>
      </c>
      <c r="U54" s="27">
        <f t="shared" si="42"/>
        <v>71.701754385964932</v>
      </c>
      <c r="V54" s="27">
        <f t="shared" si="42"/>
        <v>76.694736842105286</v>
      </c>
      <c r="W54" s="27">
        <f t="shared" si="42"/>
        <v>81.687719298245639</v>
      </c>
      <c r="X54" s="27"/>
    </row>
    <row r="55" spans="1:24">
      <c r="A55" s="317"/>
      <c r="B55" s="317"/>
      <c r="C55" s="317"/>
      <c r="D55" s="345"/>
      <c r="E55" s="345"/>
      <c r="F55" s="345"/>
      <c r="G55" s="345"/>
      <c r="H55" s="345"/>
      <c r="I55" s="418"/>
      <c r="Q55" s="27">
        <f>+J70+J30</f>
        <v>364.56491228070183</v>
      </c>
      <c r="R55" s="27">
        <f t="shared" ref="R55:W55" si="43">+K70+K30</f>
        <v>399.76140350877199</v>
      </c>
      <c r="S55" s="27">
        <f t="shared" si="43"/>
        <v>434.95789473684226</v>
      </c>
      <c r="T55" s="27">
        <f t="shared" si="43"/>
        <v>470.15438596491242</v>
      </c>
      <c r="U55" s="27">
        <f t="shared" si="43"/>
        <v>505.35087719298258</v>
      </c>
      <c r="V55" s="27">
        <f t="shared" si="43"/>
        <v>540.54736842105285</v>
      </c>
      <c r="W55" s="27">
        <f t="shared" si="43"/>
        <v>575.74385964912301</v>
      </c>
      <c r="X55" s="27"/>
    </row>
    <row r="56" spans="1:24">
      <c r="A56" s="318" t="s">
        <v>628</v>
      </c>
      <c r="B56" s="317"/>
      <c r="C56" s="317"/>
      <c r="D56" s="345"/>
      <c r="E56" s="345"/>
      <c r="F56" s="345"/>
      <c r="G56" s="345"/>
      <c r="H56" s="345"/>
      <c r="I56" s="418"/>
    </row>
    <row r="57" spans="1:24">
      <c r="A57" s="317" t="s">
        <v>642</v>
      </c>
      <c r="B57" s="317">
        <f t="shared" ref="B57:H57" si="44">B51*B53</f>
        <v>198.00000000000003</v>
      </c>
      <c r="C57" s="317">
        <f t="shared" si="44"/>
        <v>216.00000000000003</v>
      </c>
      <c r="D57" s="345">
        <f t="shared" si="44"/>
        <v>234.00000000000006</v>
      </c>
      <c r="E57" s="345">
        <f t="shared" si="44"/>
        <v>252.00000000000006</v>
      </c>
      <c r="F57" s="345">
        <f t="shared" si="44"/>
        <v>270.00000000000006</v>
      </c>
      <c r="G57" s="345">
        <f t="shared" si="44"/>
        <v>288.00000000000011</v>
      </c>
      <c r="H57" s="345">
        <f t="shared" si="44"/>
        <v>306.00000000000011</v>
      </c>
      <c r="I57" s="418"/>
    </row>
    <row r="58" spans="1:24">
      <c r="A58" s="329" t="s">
        <v>643</v>
      </c>
      <c r="B58" s="585">
        <f>+'Input Sheet'!C82</f>
        <v>4000</v>
      </c>
      <c r="C58" s="585">
        <f>+'Input Sheet'!D82</f>
        <v>4200</v>
      </c>
      <c r="D58" s="585">
        <f>+'Input Sheet'!E82</f>
        <v>4410</v>
      </c>
      <c r="E58" s="585">
        <f>+'Input Sheet'!F82</f>
        <v>4630</v>
      </c>
      <c r="F58" s="585">
        <f>+'Input Sheet'!G82</f>
        <v>4860</v>
      </c>
      <c r="G58" s="585">
        <f>+'Input Sheet'!H82</f>
        <v>5100</v>
      </c>
      <c r="H58" s="585">
        <f>+'Input Sheet'!I82</f>
        <v>5360</v>
      </c>
      <c r="I58" s="418"/>
    </row>
    <row r="59" spans="1:24">
      <c r="A59" s="331" t="s">
        <v>629</v>
      </c>
      <c r="B59" s="332">
        <f t="shared" ref="B59:H59" si="45">B57*B58/100000</f>
        <v>7.9200000000000008</v>
      </c>
      <c r="C59" s="332">
        <f t="shared" si="45"/>
        <v>9.072000000000001</v>
      </c>
      <c r="D59" s="422">
        <f t="shared" si="45"/>
        <v>10.319400000000002</v>
      </c>
      <c r="E59" s="422">
        <f t="shared" si="45"/>
        <v>11.667600000000002</v>
      </c>
      <c r="F59" s="422">
        <f t="shared" si="45"/>
        <v>13.122000000000002</v>
      </c>
      <c r="G59" s="422">
        <f t="shared" si="45"/>
        <v>14.688000000000004</v>
      </c>
      <c r="H59" s="422">
        <f t="shared" si="45"/>
        <v>16.401600000000006</v>
      </c>
      <c r="I59" s="418"/>
    </row>
    <row r="60" spans="1:24">
      <c r="A60" s="331"/>
      <c r="B60" s="332"/>
      <c r="C60" s="332"/>
      <c r="D60" s="422"/>
      <c r="E60" s="422"/>
      <c r="F60" s="422"/>
      <c r="G60" s="422"/>
      <c r="H60" s="422"/>
      <c r="I60" s="418"/>
    </row>
    <row r="61" spans="1:24">
      <c r="A61" s="331" t="s">
        <v>872</v>
      </c>
      <c r="B61" s="332"/>
      <c r="C61" s="332"/>
      <c r="D61" s="422"/>
      <c r="E61" s="422"/>
      <c r="F61" s="422"/>
      <c r="G61" s="422"/>
      <c r="H61" s="422"/>
      <c r="I61" s="418"/>
    </row>
    <row r="62" spans="1:24">
      <c r="A62" s="351" t="s">
        <v>873</v>
      </c>
      <c r="B62" s="332">
        <f t="shared" ref="B62:H62" si="46">+B57*$I$68*$I$77</f>
        <v>27.720000000000006</v>
      </c>
      <c r="C62" s="332">
        <f t="shared" si="46"/>
        <v>30.240000000000006</v>
      </c>
      <c r="D62" s="332">
        <f t="shared" si="46"/>
        <v>32.760000000000005</v>
      </c>
      <c r="E62" s="332">
        <f t="shared" si="46"/>
        <v>35.280000000000008</v>
      </c>
      <c r="F62" s="332">
        <f t="shared" si="46"/>
        <v>37.800000000000004</v>
      </c>
      <c r="G62" s="332">
        <f t="shared" si="46"/>
        <v>40.320000000000014</v>
      </c>
      <c r="H62" s="332">
        <f t="shared" si="46"/>
        <v>42.840000000000018</v>
      </c>
      <c r="I62" s="418"/>
      <c r="J62" s="366">
        <f>+B77</f>
        <v>18</v>
      </c>
    </row>
    <row r="63" spans="1:24">
      <c r="A63" s="351" t="s">
        <v>874</v>
      </c>
      <c r="B63" s="332">
        <f t="shared" ref="B63:H63" si="47">+B57*$I$69*$I$77</f>
        <v>13.860000000000003</v>
      </c>
      <c r="C63" s="332">
        <f t="shared" si="47"/>
        <v>15.120000000000003</v>
      </c>
      <c r="D63" s="332">
        <f t="shared" si="47"/>
        <v>16.380000000000003</v>
      </c>
      <c r="E63" s="332">
        <f t="shared" si="47"/>
        <v>17.640000000000004</v>
      </c>
      <c r="F63" s="332">
        <f t="shared" si="47"/>
        <v>18.900000000000002</v>
      </c>
      <c r="G63" s="332">
        <f t="shared" si="47"/>
        <v>20.160000000000007</v>
      </c>
      <c r="H63" s="332">
        <f t="shared" si="47"/>
        <v>21.420000000000009</v>
      </c>
      <c r="I63" s="418"/>
      <c r="J63" s="366">
        <f>+B82</f>
        <v>9</v>
      </c>
    </row>
    <row r="64" spans="1:24">
      <c r="A64" s="351" t="s">
        <v>875</v>
      </c>
      <c r="B64" s="332">
        <f t="shared" ref="B64:H64" si="48">+B57*$I$69*$I$77</f>
        <v>13.860000000000003</v>
      </c>
      <c r="C64" s="332">
        <f t="shared" si="48"/>
        <v>15.120000000000003</v>
      </c>
      <c r="D64" s="332">
        <f t="shared" si="48"/>
        <v>16.380000000000003</v>
      </c>
      <c r="E64" s="332">
        <f t="shared" si="48"/>
        <v>17.640000000000004</v>
      </c>
      <c r="F64" s="332">
        <f t="shared" si="48"/>
        <v>18.900000000000002</v>
      </c>
      <c r="G64" s="332">
        <f t="shared" si="48"/>
        <v>20.160000000000007</v>
      </c>
      <c r="H64" s="332">
        <f t="shared" si="48"/>
        <v>21.420000000000009</v>
      </c>
      <c r="I64" s="418"/>
      <c r="J64" s="366">
        <f>+B87</f>
        <v>64</v>
      </c>
    </row>
    <row r="65" spans="1:17">
      <c r="A65" s="318"/>
      <c r="B65" s="332">
        <f>SUM(B62:B64)</f>
        <v>55.440000000000012</v>
      </c>
      <c r="C65" s="332">
        <f t="shared" ref="C65:H65" si="49">SUM(C62:C64)</f>
        <v>60.480000000000011</v>
      </c>
      <c r="D65" s="332">
        <f t="shared" si="49"/>
        <v>65.52000000000001</v>
      </c>
      <c r="E65" s="332">
        <f t="shared" si="49"/>
        <v>70.560000000000016</v>
      </c>
      <c r="F65" s="332">
        <f t="shared" si="49"/>
        <v>75.600000000000009</v>
      </c>
      <c r="G65" s="332">
        <f t="shared" si="49"/>
        <v>80.640000000000029</v>
      </c>
      <c r="H65" s="332">
        <f t="shared" si="49"/>
        <v>85.680000000000035</v>
      </c>
      <c r="I65" s="418"/>
      <c r="J65" s="366">
        <f>SUM(J62:J64)</f>
        <v>91</v>
      </c>
    </row>
    <row r="66" spans="1:17">
      <c r="A66" s="331"/>
      <c r="B66" s="332"/>
      <c r="C66" s="332"/>
      <c r="D66" s="422"/>
      <c r="E66" s="422"/>
      <c r="F66" s="422"/>
      <c r="G66" s="422"/>
      <c r="H66" s="422"/>
      <c r="I66" s="418"/>
    </row>
    <row r="67" spans="1:17">
      <c r="A67" s="331" t="s">
        <v>630</v>
      </c>
      <c r="B67" s="332"/>
      <c r="C67" s="332"/>
      <c r="D67" s="422"/>
      <c r="E67" s="422"/>
      <c r="F67" s="422"/>
      <c r="G67" s="422"/>
      <c r="H67" s="422"/>
      <c r="I67" s="418"/>
    </row>
    <row r="68" spans="1:17">
      <c r="A68" s="586" t="str">
        <f>+'Input Sheet'!B6</f>
        <v>Total Input (Flax) (MT)</v>
      </c>
      <c r="B68" s="317">
        <f t="shared" ref="B68:H72" si="50">+ROUND(B$52*B$54*$I68,0)</f>
        <v>26</v>
      </c>
      <c r="C68" s="317">
        <f t="shared" si="50"/>
        <v>29</v>
      </c>
      <c r="D68" s="345">
        <f t="shared" si="50"/>
        <v>31</v>
      </c>
      <c r="E68" s="345">
        <f t="shared" si="50"/>
        <v>34</v>
      </c>
      <c r="F68" s="345">
        <f t="shared" si="50"/>
        <v>36</v>
      </c>
      <c r="G68" s="345">
        <f t="shared" si="50"/>
        <v>38</v>
      </c>
      <c r="H68" s="345">
        <f t="shared" si="50"/>
        <v>41</v>
      </c>
      <c r="I68" s="587">
        <f>+'Input Sheet'!C6</f>
        <v>0.2</v>
      </c>
      <c r="J68" s="366">
        <f>+B$57*$I68</f>
        <v>39.600000000000009</v>
      </c>
      <c r="K68" s="366">
        <f t="shared" ref="K68:P70" si="51">+C$57*$I68</f>
        <v>43.20000000000001</v>
      </c>
      <c r="L68" s="366">
        <f t="shared" si="51"/>
        <v>46.800000000000011</v>
      </c>
      <c r="M68" s="366">
        <f t="shared" si="51"/>
        <v>50.400000000000013</v>
      </c>
      <c r="N68" s="366">
        <f t="shared" si="51"/>
        <v>54.000000000000014</v>
      </c>
      <c r="O68" s="366">
        <f t="shared" si="51"/>
        <v>57.600000000000023</v>
      </c>
      <c r="P68" s="366">
        <f t="shared" si="51"/>
        <v>61.200000000000024</v>
      </c>
      <c r="Q68" s="366">
        <f>+B68+J68</f>
        <v>65.600000000000009</v>
      </c>
    </row>
    <row r="69" spans="1:17">
      <c r="A69" s="586" t="str">
        <f>+'Input Sheet'!B7</f>
        <v>Total Input (Safflower) (MT)</v>
      </c>
      <c r="B69" s="317">
        <f t="shared" si="50"/>
        <v>13</v>
      </c>
      <c r="C69" s="317">
        <f t="shared" si="50"/>
        <v>14</v>
      </c>
      <c r="D69" s="345">
        <f t="shared" si="50"/>
        <v>16</v>
      </c>
      <c r="E69" s="345">
        <f t="shared" si="50"/>
        <v>17</v>
      </c>
      <c r="F69" s="345">
        <f t="shared" si="50"/>
        <v>18</v>
      </c>
      <c r="G69" s="345">
        <f t="shared" si="50"/>
        <v>19</v>
      </c>
      <c r="H69" s="345">
        <f t="shared" si="50"/>
        <v>20</v>
      </c>
      <c r="I69" s="587">
        <f>+'Input Sheet'!C7</f>
        <v>0.1</v>
      </c>
      <c r="J69" s="366">
        <f>+B$57*$I69</f>
        <v>19.800000000000004</v>
      </c>
      <c r="K69" s="366">
        <f t="shared" si="51"/>
        <v>21.600000000000005</v>
      </c>
      <c r="L69" s="366">
        <f t="shared" si="51"/>
        <v>23.400000000000006</v>
      </c>
      <c r="M69" s="366">
        <f t="shared" si="51"/>
        <v>25.200000000000006</v>
      </c>
      <c r="N69" s="366">
        <f t="shared" si="51"/>
        <v>27.000000000000007</v>
      </c>
      <c r="O69" s="366">
        <f t="shared" si="51"/>
        <v>28.800000000000011</v>
      </c>
      <c r="P69" s="366">
        <f t="shared" si="51"/>
        <v>30.600000000000012</v>
      </c>
      <c r="Q69" s="366">
        <f>+B69+J69</f>
        <v>32.800000000000004</v>
      </c>
    </row>
    <row r="70" spans="1:17">
      <c r="A70" s="586" t="str">
        <f>+'Input Sheet'!B8</f>
        <v>Total Input -Mustered(MT)</v>
      </c>
      <c r="B70" s="317">
        <f t="shared" si="50"/>
        <v>92</v>
      </c>
      <c r="C70" s="317">
        <f t="shared" si="50"/>
        <v>101</v>
      </c>
      <c r="D70" s="345">
        <f t="shared" si="50"/>
        <v>109</v>
      </c>
      <c r="E70" s="345">
        <f t="shared" si="50"/>
        <v>118</v>
      </c>
      <c r="F70" s="345">
        <f t="shared" si="50"/>
        <v>126</v>
      </c>
      <c r="G70" s="345">
        <f t="shared" si="50"/>
        <v>134</v>
      </c>
      <c r="H70" s="345">
        <f t="shared" si="50"/>
        <v>143</v>
      </c>
      <c r="I70" s="587">
        <f>+'Input Sheet'!C8</f>
        <v>0.7</v>
      </c>
      <c r="J70" s="366">
        <f>+B$57*$I70</f>
        <v>138.60000000000002</v>
      </c>
      <c r="K70" s="366">
        <f t="shared" si="51"/>
        <v>151.20000000000002</v>
      </c>
      <c r="L70" s="366">
        <f t="shared" si="51"/>
        <v>163.80000000000004</v>
      </c>
      <c r="M70" s="366">
        <f t="shared" si="51"/>
        <v>176.40000000000003</v>
      </c>
      <c r="N70" s="366">
        <f t="shared" si="51"/>
        <v>189.00000000000003</v>
      </c>
      <c r="O70" s="366">
        <f t="shared" si="51"/>
        <v>201.60000000000008</v>
      </c>
      <c r="P70" s="366">
        <f t="shared" si="51"/>
        <v>214.20000000000007</v>
      </c>
      <c r="Q70" s="366">
        <f>+B70+J70</f>
        <v>230.60000000000002</v>
      </c>
    </row>
    <row r="71" spans="1:17" hidden="1">
      <c r="A71" s="586" t="str">
        <f>+'Input Sheet'!B9</f>
        <v>Total Input -Tomato (MT)</v>
      </c>
      <c r="B71" s="317">
        <f t="shared" si="50"/>
        <v>0</v>
      </c>
      <c r="C71" s="317">
        <f t="shared" si="50"/>
        <v>0</v>
      </c>
      <c r="D71" s="345">
        <f t="shared" si="50"/>
        <v>0</v>
      </c>
      <c r="E71" s="345">
        <f t="shared" si="50"/>
        <v>0</v>
      </c>
      <c r="F71" s="345">
        <f t="shared" si="50"/>
        <v>0</v>
      </c>
      <c r="G71" s="345">
        <f t="shared" si="50"/>
        <v>0</v>
      </c>
      <c r="H71" s="345">
        <f t="shared" si="50"/>
        <v>0</v>
      </c>
      <c r="I71" s="587">
        <f>+'Input Sheet'!C9</f>
        <v>0</v>
      </c>
    </row>
    <row r="72" spans="1:17" hidden="1">
      <c r="A72" s="586" t="str">
        <f>+'Input Sheet'!B10</f>
        <v>Total Input -Chilli (MT)</v>
      </c>
      <c r="B72" s="317">
        <f t="shared" si="50"/>
        <v>0</v>
      </c>
      <c r="C72" s="317">
        <f t="shared" si="50"/>
        <v>0</v>
      </c>
      <c r="D72" s="345">
        <f t="shared" si="50"/>
        <v>0</v>
      </c>
      <c r="E72" s="345">
        <f t="shared" si="50"/>
        <v>0</v>
      </c>
      <c r="F72" s="345">
        <f t="shared" si="50"/>
        <v>0</v>
      </c>
      <c r="G72" s="345">
        <f t="shared" si="50"/>
        <v>0</v>
      </c>
      <c r="H72" s="345">
        <f t="shared" si="50"/>
        <v>0</v>
      </c>
      <c r="I72" s="587">
        <f>+'Input Sheet'!C10</f>
        <v>0</v>
      </c>
    </row>
    <row r="73" spans="1:17">
      <c r="A73" s="586" t="s">
        <v>846</v>
      </c>
      <c r="B73" s="334">
        <f t="shared" ref="B73:H73" si="52">SUM(B68:B72)</f>
        <v>131</v>
      </c>
      <c r="C73" s="334">
        <f t="shared" si="52"/>
        <v>144</v>
      </c>
      <c r="D73" s="334">
        <f t="shared" si="52"/>
        <v>156</v>
      </c>
      <c r="E73" s="334">
        <f t="shared" si="52"/>
        <v>169</v>
      </c>
      <c r="F73" s="334">
        <f t="shared" si="52"/>
        <v>180</v>
      </c>
      <c r="G73" s="334">
        <f t="shared" si="52"/>
        <v>191</v>
      </c>
      <c r="H73" s="334">
        <f t="shared" si="52"/>
        <v>204</v>
      </c>
      <c r="I73" s="418"/>
    </row>
    <row r="74" spans="1:17">
      <c r="A74" s="333"/>
      <c r="B74" s="334"/>
      <c r="C74" s="334"/>
      <c r="D74" s="391"/>
      <c r="E74" s="391"/>
      <c r="F74" s="391"/>
      <c r="G74" s="391"/>
      <c r="H74" s="391"/>
      <c r="I74" s="418"/>
    </row>
    <row r="75" spans="1:17">
      <c r="A75" s="589" t="str">
        <f>+'Input Sheet'!B28</f>
        <v>Captive Operations Grade Output (Flax)(MT)</v>
      </c>
      <c r="B75" s="317"/>
      <c r="C75" s="317"/>
      <c r="D75" s="345"/>
      <c r="E75" s="345"/>
      <c r="F75" s="345"/>
      <c r="G75" s="345"/>
      <c r="H75" s="345"/>
      <c r="I75" s="418"/>
      <c r="M75">
        <v>150</v>
      </c>
    </row>
    <row r="76" spans="1:17">
      <c r="A76" s="589" t="str">
        <f>+'Input Sheet'!B29</f>
        <v>Flax Oil</v>
      </c>
      <c r="B76" s="334">
        <f t="shared" ref="B76:H78" si="53">+ROUND(B$68*$I76,0)</f>
        <v>7</v>
      </c>
      <c r="C76" s="334">
        <f t="shared" si="53"/>
        <v>7</v>
      </c>
      <c r="D76" s="391">
        <f t="shared" si="53"/>
        <v>8</v>
      </c>
      <c r="E76" s="391">
        <f t="shared" si="53"/>
        <v>9</v>
      </c>
      <c r="F76" s="391">
        <f t="shared" si="53"/>
        <v>9</v>
      </c>
      <c r="G76" s="391">
        <f t="shared" si="53"/>
        <v>10</v>
      </c>
      <c r="H76" s="391">
        <f t="shared" si="53"/>
        <v>10</v>
      </c>
      <c r="I76" s="588">
        <f>+'Input Sheet'!C29</f>
        <v>0.25</v>
      </c>
      <c r="M76">
        <v>224</v>
      </c>
    </row>
    <row r="77" spans="1:17">
      <c r="A77" s="589" t="str">
        <f>+'Input Sheet'!B30</f>
        <v>Oil Cake</v>
      </c>
      <c r="B77" s="334">
        <f t="shared" si="53"/>
        <v>18</v>
      </c>
      <c r="C77" s="334">
        <f t="shared" si="53"/>
        <v>20</v>
      </c>
      <c r="D77" s="391">
        <f t="shared" si="53"/>
        <v>22</v>
      </c>
      <c r="E77" s="391">
        <f t="shared" si="53"/>
        <v>24</v>
      </c>
      <c r="F77" s="391">
        <f t="shared" si="53"/>
        <v>25</v>
      </c>
      <c r="G77" s="391">
        <f t="shared" si="53"/>
        <v>27</v>
      </c>
      <c r="H77" s="391">
        <f t="shared" si="53"/>
        <v>29</v>
      </c>
      <c r="I77" s="588">
        <f>+'Input Sheet'!C30</f>
        <v>0.7</v>
      </c>
      <c r="M77">
        <f>+M76-M75</f>
        <v>74</v>
      </c>
    </row>
    <row r="78" spans="1:17">
      <c r="A78" s="589" t="str">
        <f>+'Input Sheet'!B31</f>
        <v>Waste</v>
      </c>
      <c r="B78" s="334">
        <f t="shared" si="53"/>
        <v>1</v>
      </c>
      <c r="C78" s="334">
        <f t="shared" si="53"/>
        <v>1</v>
      </c>
      <c r="D78" s="391">
        <f t="shared" si="53"/>
        <v>2</v>
      </c>
      <c r="E78" s="391">
        <f t="shared" si="53"/>
        <v>2</v>
      </c>
      <c r="F78" s="391">
        <f t="shared" si="53"/>
        <v>2</v>
      </c>
      <c r="G78" s="391">
        <f t="shared" si="53"/>
        <v>2</v>
      </c>
      <c r="H78" s="391">
        <f t="shared" si="53"/>
        <v>2</v>
      </c>
      <c r="I78" s="588">
        <f>+'Input Sheet'!C31</f>
        <v>0.05</v>
      </c>
    </row>
    <row r="79" spans="1:17">
      <c r="A79" s="317"/>
      <c r="B79" s="317"/>
      <c r="C79" s="317"/>
      <c r="D79" s="345"/>
      <c r="E79" s="345"/>
      <c r="F79" s="345"/>
      <c r="G79" s="345"/>
      <c r="H79" s="345"/>
      <c r="I79" s="418"/>
    </row>
    <row r="80" spans="1:17">
      <c r="A80" s="589" t="str">
        <f>+'Input Sheet'!B35</f>
        <v>Captive Operations Grade Output (safflower)(MT)</v>
      </c>
      <c r="B80" s="317"/>
      <c r="C80" s="317"/>
      <c r="D80" s="345"/>
      <c r="E80" s="345"/>
      <c r="F80" s="345"/>
      <c r="G80" s="345"/>
      <c r="H80" s="345"/>
      <c r="I80" s="418"/>
    </row>
    <row r="81" spans="1:15">
      <c r="A81" s="589" t="str">
        <f>+'Input Sheet'!B36</f>
        <v>safflower Oil</v>
      </c>
      <c r="B81" s="334">
        <f t="shared" ref="B81:H83" si="54">+ROUND(B$69*$I81,0)</f>
        <v>3</v>
      </c>
      <c r="C81" s="334">
        <f t="shared" si="54"/>
        <v>4</v>
      </c>
      <c r="D81" s="391">
        <f t="shared" si="54"/>
        <v>4</v>
      </c>
      <c r="E81" s="391">
        <f t="shared" si="54"/>
        <v>4</v>
      </c>
      <c r="F81" s="391">
        <f t="shared" si="54"/>
        <v>5</v>
      </c>
      <c r="G81" s="391">
        <f t="shared" si="54"/>
        <v>5</v>
      </c>
      <c r="H81" s="391">
        <f t="shared" si="54"/>
        <v>5</v>
      </c>
      <c r="I81" s="588">
        <f>+'Input Sheet'!C36</f>
        <v>0.25</v>
      </c>
    </row>
    <row r="82" spans="1:15">
      <c r="A82" s="589" t="str">
        <f>+'Input Sheet'!B37</f>
        <v>Oil Cake</v>
      </c>
      <c r="B82" s="334">
        <f>+ROUND(B$69*$I82,0)</f>
        <v>9</v>
      </c>
      <c r="C82" s="334">
        <f t="shared" si="54"/>
        <v>10</v>
      </c>
      <c r="D82" s="391">
        <f t="shared" si="54"/>
        <v>11</v>
      </c>
      <c r="E82" s="391">
        <f t="shared" si="54"/>
        <v>12</v>
      </c>
      <c r="F82" s="391">
        <f t="shared" si="54"/>
        <v>13</v>
      </c>
      <c r="G82" s="391">
        <f t="shared" si="54"/>
        <v>13</v>
      </c>
      <c r="H82" s="391">
        <f t="shared" si="54"/>
        <v>14</v>
      </c>
      <c r="I82" s="588">
        <f>+'Input Sheet'!C37</f>
        <v>0.7</v>
      </c>
    </row>
    <row r="83" spans="1:15">
      <c r="A83" s="589" t="str">
        <f>+'Input Sheet'!B38</f>
        <v>Waste</v>
      </c>
      <c r="B83" s="334">
        <f t="shared" si="54"/>
        <v>1</v>
      </c>
      <c r="C83" s="334">
        <f t="shared" si="54"/>
        <v>1</v>
      </c>
      <c r="D83" s="391">
        <f t="shared" si="54"/>
        <v>1</v>
      </c>
      <c r="E83" s="391">
        <f t="shared" si="54"/>
        <v>1</v>
      </c>
      <c r="F83" s="391">
        <f t="shared" si="54"/>
        <v>1</v>
      </c>
      <c r="G83" s="391">
        <f t="shared" si="54"/>
        <v>1</v>
      </c>
      <c r="H83" s="391">
        <f t="shared" si="54"/>
        <v>1</v>
      </c>
      <c r="I83" s="588">
        <f>+'Input Sheet'!C38</f>
        <v>0.05</v>
      </c>
    </row>
    <row r="84" spans="1:15">
      <c r="A84" s="317"/>
      <c r="B84" s="317"/>
      <c r="C84" s="317"/>
      <c r="D84" s="345"/>
      <c r="E84" s="345"/>
      <c r="F84" s="345"/>
      <c r="G84" s="345"/>
      <c r="H84" s="345"/>
      <c r="I84" s="418"/>
    </row>
    <row r="85" spans="1:15">
      <c r="A85" s="590" t="str">
        <f>+'Input Sheet'!B42</f>
        <v>Captive Operations Grade Output (Mustered)(MT)</v>
      </c>
      <c r="B85" s="317"/>
      <c r="C85" s="317"/>
      <c r="D85" s="345"/>
      <c r="E85" s="345"/>
      <c r="F85" s="345"/>
      <c r="G85" s="345"/>
      <c r="H85" s="345"/>
      <c r="I85" s="418"/>
      <c r="K85" s="3">
        <f>+L85/$L$88</f>
        <v>0.21212121212121213</v>
      </c>
      <c r="L85" s="539">
        <f>+B76</f>
        <v>7</v>
      </c>
      <c r="M85" s="539">
        <f>+C76</f>
        <v>7</v>
      </c>
      <c r="N85" s="539">
        <f>+D76</f>
        <v>8</v>
      </c>
      <c r="O85" s="539">
        <f>+E76</f>
        <v>9</v>
      </c>
    </row>
    <row r="86" spans="1:15">
      <c r="A86" s="591" t="str">
        <f>+'Input Sheet'!B43</f>
        <v>Mustered Oil</v>
      </c>
      <c r="B86" s="334">
        <f t="shared" ref="B86:H87" si="55">+ROUND(B$70*$I86,0)</f>
        <v>23</v>
      </c>
      <c r="C86" s="334">
        <f t="shared" si="55"/>
        <v>25</v>
      </c>
      <c r="D86" s="391">
        <f t="shared" si="55"/>
        <v>27</v>
      </c>
      <c r="E86" s="391">
        <f t="shared" si="55"/>
        <v>30</v>
      </c>
      <c r="F86" s="391">
        <f t="shared" si="55"/>
        <v>32</v>
      </c>
      <c r="G86" s="391">
        <f t="shared" si="55"/>
        <v>34</v>
      </c>
      <c r="H86" s="391">
        <f t="shared" si="55"/>
        <v>36</v>
      </c>
      <c r="I86" s="588">
        <f>+'Input Sheet'!C43</f>
        <v>0.25</v>
      </c>
      <c r="K86" s="3">
        <f>+L86/$L$88</f>
        <v>9.0909090909090912E-2</v>
      </c>
      <c r="L86" s="539">
        <f>+B81</f>
        <v>3</v>
      </c>
      <c r="M86" s="539">
        <f>+C81</f>
        <v>4</v>
      </c>
      <c r="N86" s="539">
        <f>+D81</f>
        <v>4</v>
      </c>
      <c r="O86" s="539">
        <f>+E81</f>
        <v>4</v>
      </c>
    </row>
    <row r="87" spans="1:15">
      <c r="A87" s="591" t="str">
        <f>+'Input Sheet'!B44</f>
        <v>Oil Cake</v>
      </c>
      <c r="B87" s="334">
        <f>+ROUND(B$70*$I87,0)</f>
        <v>64</v>
      </c>
      <c r="C87" s="334">
        <f t="shared" si="55"/>
        <v>71</v>
      </c>
      <c r="D87" s="334">
        <f t="shared" si="55"/>
        <v>76</v>
      </c>
      <c r="E87" s="334">
        <f t="shared" si="55"/>
        <v>83</v>
      </c>
      <c r="F87" s="334">
        <f t="shared" si="55"/>
        <v>88</v>
      </c>
      <c r="G87" s="334">
        <f t="shared" si="55"/>
        <v>94</v>
      </c>
      <c r="H87" s="334">
        <f t="shared" si="55"/>
        <v>100</v>
      </c>
      <c r="I87" s="588">
        <f>+'Input Sheet'!C44</f>
        <v>0.7</v>
      </c>
      <c r="K87" s="3">
        <f>+L87/$L$88</f>
        <v>0.69696969696969702</v>
      </c>
      <c r="L87" s="539">
        <f>+B86</f>
        <v>23</v>
      </c>
      <c r="M87" s="539">
        <f>+C86</f>
        <v>25</v>
      </c>
      <c r="N87" s="539">
        <f>+D86</f>
        <v>27</v>
      </c>
      <c r="O87" s="539">
        <f>+E86</f>
        <v>30</v>
      </c>
    </row>
    <row r="88" spans="1:15">
      <c r="A88" s="591" t="str">
        <f>+'Input Sheet'!B45</f>
        <v>Waste</v>
      </c>
      <c r="B88" s="334">
        <f t="shared" ref="B88:H88" si="56">+ROUND(B$70*$I88,0)</f>
        <v>5</v>
      </c>
      <c r="C88" s="334">
        <f t="shared" si="56"/>
        <v>5</v>
      </c>
      <c r="D88" s="391">
        <f t="shared" si="56"/>
        <v>5</v>
      </c>
      <c r="E88" s="391">
        <f t="shared" si="56"/>
        <v>6</v>
      </c>
      <c r="F88" s="391">
        <f t="shared" si="56"/>
        <v>6</v>
      </c>
      <c r="G88" s="391">
        <f t="shared" si="56"/>
        <v>7</v>
      </c>
      <c r="H88" s="391">
        <f t="shared" si="56"/>
        <v>7</v>
      </c>
      <c r="I88" s="588">
        <f>+'Input Sheet'!C45</f>
        <v>0.05</v>
      </c>
      <c r="L88">
        <f>SUM(L85:L87)</f>
        <v>33</v>
      </c>
    </row>
    <row r="89" spans="1:15" s="677" customFormat="1">
      <c r="A89" s="672"/>
      <c r="B89" s="673"/>
      <c r="C89" s="673"/>
      <c r="D89" s="674"/>
      <c r="E89" s="674"/>
      <c r="F89" s="674"/>
      <c r="G89" s="674"/>
      <c r="H89" s="674"/>
      <c r="I89" s="675"/>
      <c r="J89" s="676"/>
    </row>
    <row r="90" spans="1:15">
      <c r="A90" s="331" t="s">
        <v>934</v>
      </c>
      <c r="B90" s="332"/>
      <c r="C90" s="332"/>
      <c r="D90" s="422"/>
      <c r="E90" s="422"/>
      <c r="F90" s="422"/>
      <c r="G90" s="422"/>
      <c r="H90" s="422"/>
      <c r="I90" s="418"/>
      <c r="J90" s="366" t="e">
        <f>+#REF!/0.3</f>
        <v>#REF!</v>
      </c>
    </row>
    <row r="91" spans="1:15">
      <c r="A91" s="316" t="s">
        <v>639</v>
      </c>
      <c r="B91" s="328">
        <f>0.5*$B$8*300</f>
        <v>1200</v>
      </c>
      <c r="C91" s="328">
        <f t="shared" ref="C91:H91" si="57">0.5*$B$8*300</f>
        <v>1200</v>
      </c>
      <c r="D91" s="328">
        <f t="shared" si="57"/>
        <v>1200</v>
      </c>
      <c r="E91" s="328">
        <f t="shared" si="57"/>
        <v>1200</v>
      </c>
      <c r="F91" s="328">
        <f t="shared" si="57"/>
        <v>1200</v>
      </c>
      <c r="G91" s="328">
        <f t="shared" si="57"/>
        <v>1200</v>
      </c>
      <c r="H91" s="328">
        <f t="shared" si="57"/>
        <v>1200</v>
      </c>
      <c r="I91" s="418"/>
      <c r="J91" s="366" t="e">
        <f>+J90/B91</f>
        <v>#REF!</v>
      </c>
    </row>
    <row r="92" spans="1:15">
      <c r="A92" s="316" t="s">
        <v>627</v>
      </c>
      <c r="B92" s="584">
        <f>+B98/B91</f>
        <v>0.40677777777777779</v>
      </c>
      <c r="C92" s="584">
        <f t="shared" ref="C92:H92" si="58">+C98/C91</f>
        <v>0.44855555555555565</v>
      </c>
      <c r="D92" s="584">
        <f t="shared" si="58"/>
        <v>0.48477777777777781</v>
      </c>
      <c r="E92" s="584">
        <f t="shared" si="58"/>
        <v>0.52655555555555555</v>
      </c>
      <c r="F92" s="584">
        <f t="shared" si="58"/>
        <v>0.56000000000000005</v>
      </c>
      <c r="G92" s="584">
        <f t="shared" si="58"/>
        <v>0.59622222222222232</v>
      </c>
      <c r="H92" s="584">
        <f t="shared" si="58"/>
        <v>0.63522222222222235</v>
      </c>
      <c r="I92" s="418"/>
    </row>
    <row r="93" spans="1:15">
      <c r="A93" s="331"/>
      <c r="B93" s="332"/>
      <c r="C93" s="332"/>
      <c r="D93" s="422"/>
      <c r="E93" s="422"/>
      <c r="F93" s="422"/>
      <c r="G93" s="422"/>
      <c r="H93" s="422"/>
      <c r="I93" s="418"/>
    </row>
    <row r="94" spans="1:15">
      <c r="A94" s="589" t="s">
        <v>935</v>
      </c>
      <c r="B94" s="332"/>
      <c r="C94" s="332"/>
      <c r="D94" s="422"/>
      <c r="E94" s="422"/>
      <c r="F94" s="422"/>
      <c r="G94" s="422"/>
      <c r="H94" s="422"/>
      <c r="I94" s="418"/>
    </row>
    <row r="95" spans="1:15">
      <c r="A95" s="331" t="s">
        <v>870</v>
      </c>
      <c r="B95" s="332">
        <f t="shared" ref="B95:H95" si="59">+B77+B82+B87+B65</f>
        <v>146.44</v>
      </c>
      <c r="C95" s="332">
        <f t="shared" si="59"/>
        <v>161.48000000000002</v>
      </c>
      <c r="D95" s="332">
        <f t="shared" si="59"/>
        <v>174.52</v>
      </c>
      <c r="E95" s="332">
        <f t="shared" si="59"/>
        <v>189.56</v>
      </c>
      <c r="F95" s="332">
        <f t="shared" si="59"/>
        <v>201.60000000000002</v>
      </c>
      <c r="G95" s="332">
        <f t="shared" si="59"/>
        <v>214.64000000000004</v>
      </c>
      <c r="H95" s="332">
        <f t="shared" si="59"/>
        <v>228.68000000000004</v>
      </c>
      <c r="I95" s="418">
        <v>0.3</v>
      </c>
      <c r="O95">
        <v>15</v>
      </c>
    </row>
    <row r="96" spans="1:15">
      <c r="A96" s="331" t="s">
        <v>941</v>
      </c>
      <c r="B96" s="332">
        <f t="shared" ref="B96:H97" si="60">+B$98*$I96</f>
        <v>146.44</v>
      </c>
      <c r="C96" s="332">
        <f t="shared" si="60"/>
        <v>161.48000000000002</v>
      </c>
      <c r="D96" s="332">
        <f t="shared" si="60"/>
        <v>174.52</v>
      </c>
      <c r="E96" s="332">
        <f t="shared" si="60"/>
        <v>189.56</v>
      </c>
      <c r="F96" s="332">
        <f t="shared" si="60"/>
        <v>201.60000000000002</v>
      </c>
      <c r="G96" s="332">
        <f t="shared" si="60"/>
        <v>214.64000000000004</v>
      </c>
      <c r="H96" s="332">
        <f t="shared" si="60"/>
        <v>228.68000000000004</v>
      </c>
      <c r="I96" s="418">
        <v>0.3</v>
      </c>
      <c r="O96">
        <v>15</v>
      </c>
    </row>
    <row r="97" spans="1:10">
      <c r="A97" s="331" t="s">
        <v>942</v>
      </c>
      <c r="B97" s="332">
        <f t="shared" si="60"/>
        <v>195.25333333333333</v>
      </c>
      <c r="C97" s="332">
        <f t="shared" si="60"/>
        <v>215.30666666666673</v>
      </c>
      <c r="D97" s="332">
        <f t="shared" si="60"/>
        <v>232.69333333333336</v>
      </c>
      <c r="E97" s="332">
        <f t="shared" si="60"/>
        <v>252.74666666666667</v>
      </c>
      <c r="F97" s="332">
        <f t="shared" si="60"/>
        <v>268.80000000000007</v>
      </c>
      <c r="G97" s="332">
        <f t="shared" si="60"/>
        <v>286.18666666666672</v>
      </c>
      <c r="H97" s="332">
        <f t="shared" si="60"/>
        <v>304.90666666666669</v>
      </c>
      <c r="I97" s="418">
        <v>0.4</v>
      </c>
    </row>
    <row r="98" spans="1:10">
      <c r="A98" s="331" t="s">
        <v>846</v>
      </c>
      <c r="B98" s="332">
        <f>+B95/0.3</f>
        <v>488.13333333333333</v>
      </c>
      <c r="C98" s="332">
        <f t="shared" ref="C98:H98" si="61">+C95/0.3</f>
        <v>538.26666666666677</v>
      </c>
      <c r="D98" s="332">
        <f t="shared" si="61"/>
        <v>581.73333333333335</v>
      </c>
      <c r="E98" s="332">
        <f t="shared" si="61"/>
        <v>631.86666666666667</v>
      </c>
      <c r="F98" s="332">
        <f t="shared" si="61"/>
        <v>672.00000000000011</v>
      </c>
      <c r="G98" s="332">
        <f t="shared" si="61"/>
        <v>715.46666666666681</v>
      </c>
      <c r="H98" s="332">
        <f t="shared" si="61"/>
        <v>762.26666666666677</v>
      </c>
      <c r="I98" s="418"/>
    </row>
    <row r="99" spans="1:10">
      <c r="A99" s="317"/>
      <c r="B99" s="317"/>
      <c r="C99" s="317"/>
      <c r="D99" s="345"/>
      <c r="E99" s="345"/>
      <c r="F99" s="345"/>
      <c r="G99" s="345"/>
      <c r="H99" s="345"/>
      <c r="I99" s="418"/>
    </row>
    <row r="100" spans="1:10" hidden="1">
      <c r="A100" s="590" t="str">
        <f>+'Input Sheet'!B47</f>
        <v>Captive Operations Grade Output -Tomato(MT)</v>
      </c>
      <c r="B100" s="317"/>
      <c r="C100" s="317"/>
      <c r="D100" s="345"/>
      <c r="E100" s="345"/>
      <c r="F100" s="345"/>
      <c r="G100" s="345"/>
      <c r="H100" s="345"/>
      <c r="I100" s="418"/>
    </row>
    <row r="101" spans="1:10" hidden="1">
      <c r="A101" s="591" t="str">
        <f>+'Input Sheet'!B48</f>
        <v>Grade 1</v>
      </c>
      <c r="B101" s="334">
        <f t="shared" ref="B101:H103" si="62">+ROUND(B$71*$I101,0)</f>
        <v>0</v>
      </c>
      <c r="C101" s="334">
        <f t="shared" si="62"/>
        <v>0</v>
      </c>
      <c r="D101" s="391">
        <f t="shared" si="62"/>
        <v>0</v>
      </c>
      <c r="E101" s="391">
        <f t="shared" si="62"/>
        <v>0</v>
      </c>
      <c r="F101" s="391">
        <f t="shared" si="62"/>
        <v>0</v>
      </c>
      <c r="G101" s="391">
        <f t="shared" si="62"/>
        <v>0</v>
      </c>
      <c r="H101" s="391">
        <f t="shared" si="62"/>
        <v>0</v>
      </c>
      <c r="I101" s="588">
        <f>+'Input Sheet'!C48</f>
        <v>0</v>
      </c>
    </row>
    <row r="102" spans="1:10" hidden="1">
      <c r="A102" s="591" t="str">
        <f>+'Input Sheet'!B49</f>
        <v>Grade 2</v>
      </c>
      <c r="B102" s="334">
        <f t="shared" si="62"/>
        <v>0</v>
      </c>
      <c r="C102" s="334">
        <f t="shared" si="62"/>
        <v>0</v>
      </c>
      <c r="D102" s="391">
        <f t="shared" si="62"/>
        <v>0</v>
      </c>
      <c r="E102" s="391">
        <f t="shared" si="62"/>
        <v>0</v>
      </c>
      <c r="F102" s="391">
        <f t="shared" si="62"/>
        <v>0</v>
      </c>
      <c r="G102" s="391">
        <f t="shared" si="62"/>
        <v>0</v>
      </c>
      <c r="H102" s="391">
        <f t="shared" si="62"/>
        <v>0</v>
      </c>
      <c r="I102" s="588">
        <f>+'Input Sheet'!C49</f>
        <v>0</v>
      </c>
    </row>
    <row r="103" spans="1:10" hidden="1">
      <c r="A103" s="591" t="str">
        <f>+'Input Sheet'!B50</f>
        <v>Animal Feed</v>
      </c>
      <c r="B103" s="334">
        <f t="shared" si="62"/>
        <v>0</v>
      </c>
      <c r="C103" s="334">
        <f t="shared" si="62"/>
        <v>0</v>
      </c>
      <c r="D103" s="391">
        <f t="shared" si="62"/>
        <v>0</v>
      </c>
      <c r="E103" s="391">
        <f t="shared" si="62"/>
        <v>0</v>
      </c>
      <c r="F103" s="391">
        <f t="shared" si="62"/>
        <v>0</v>
      </c>
      <c r="G103" s="391">
        <f t="shared" si="62"/>
        <v>0</v>
      </c>
      <c r="H103" s="391">
        <f t="shared" si="62"/>
        <v>0</v>
      </c>
      <c r="I103" s="588">
        <f>+'Input Sheet'!C50</f>
        <v>0</v>
      </c>
    </row>
    <row r="104" spans="1:10" hidden="1">
      <c r="A104" s="317"/>
      <c r="B104" s="317"/>
      <c r="C104" s="317"/>
      <c r="D104" s="345"/>
      <c r="E104" s="345"/>
      <c r="F104" s="345"/>
      <c r="G104" s="345"/>
      <c r="H104" s="345"/>
      <c r="I104" s="418"/>
    </row>
    <row r="105" spans="1:10" hidden="1">
      <c r="A105" s="590" t="str">
        <f>+'Input Sheet'!B52</f>
        <v>Captive Operations Grade Output -Chilli(MT)</v>
      </c>
      <c r="B105" s="317"/>
      <c r="C105" s="317"/>
      <c r="D105" s="345"/>
      <c r="E105" s="345"/>
      <c r="F105" s="345"/>
      <c r="G105" s="345"/>
      <c r="H105" s="345"/>
      <c r="I105" s="418"/>
    </row>
    <row r="106" spans="1:10" hidden="1">
      <c r="A106" s="591" t="str">
        <f>+'Input Sheet'!B53</f>
        <v>Green Chilli</v>
      </c>
      <c r="B106" s="334">
        <f t="shared" ref="B106:H108" si="63">+ROUND(B$72*$I106,0)</f>
        <v>0</v>
      </c>
      <c r="C106" s="334">
        <f t="shared" si="63"/>
        <v>0</v>
      </c>
      <c r="D106" s="391">
        <f t="shared" si="63"/>
        <v>0</v>
      </c>
      <c r="E106" s="391">
        <f t="shared" si="63"/>
        <v>0</v>
      </c>
      <c r="F106" s="391">
        <f t="shared" si="63"/>
        <v>0</v>
      </c>
      <c r="G106" s="391">
        <f t="shared" si="63"/>
        <v>0</v>
      </c>
      <c r="H106" s="391">
        <f t="shared" si="63"/>
        <v>0</v>
      </c>
      <c r="I106" s="588">
        <f>+'Input Sheet'!C53</f>
        <v>0</v>
      </c>
    </row>
    <row r="107" spans="1:10" hidden="1">
      <c r="A107" s="591" t="str">
        <f>+'Input Sheet'!B54</f>
        <v>Red Chilli</v>
      </c>
      <c r="B107" s="334">
        <f t="shared" si="63"/>
        <v>0</v>
      </c>
      <c r="C107" s="334">
        <f t="shared" si="63"/>
        <v>0</v>
      </c>
      <c r="D107" s="391">
        <f t="shared" si="63"/>
        <v>0</v>
      </c>
      <c r="E107" s="391">
        <f t="shared" si="63"/>
        <v>0</v>
      </c>
      <c r="F107" s="391">
        <f t="shared" si="63"/>
        <v>0</v>
      </c>
      <c r="G107" s="391">
        <f t="shared" si="63"/>
        <v>0</v>
      </c>
      <c r="H107" s="391">
        <f t="shared" si="63"/>
        <v>0</v>
      </c>
      <c r="I107" s="588">
        <f>+'Input Sheet'!C54</f>
        <v>0</v>
      </c>
    </row>
    <row r="108" spans="1:10" hidden="1">
      <c r="A108" s="591" t="str">
        <f>+'Input Sheet'!B55</f>
        <v>Waste</v>
      </c>
      <c r="B108" s="334">
        <f t="shared" si="63"/>
        <v>0</v>
      </c>
      <c r="C108" s="334">
        <f t="shared" si="63"/>
        <v>0</v>
      </c>
      <c r="D108" s="391">
        <f t="shared" si="63"/>
        <v>0</v>
      </c>
      <c r="E108" s="391">
        <f t="shared" si="63"/>
        <v>0</v>
      </c>
      <c r="F108" s="391">
        <f t="shared" si="63"/>
        <v>0</v>
      </c>
      <c r="G108" s="391">
        <f t="shared" si="63"/>
        <v>0</v>
      </c>
      <c r="H108" s="391">
        <f t="shared" si="63"/>
        <v>0</v>
      </c>
      <c r="I108" s="588">
        <f>+'Input Sheet'!C55</f>
        <v>0</v>
      </c>
    </row>
    <row r="109" spans="1:10" s="677" customFormat="1">
      <c r="A109" s="678"/>
      <c r="B109" s="678"/>
      <c r="C109" s="678"/>
      <c r="D109" s="523"/>
      <c r="E109" s="523"/>
      <c r="F109" s="523"/>
      <c r="G109" s="523"/>
      <c r="H109" s="523"/>
      <c r="I109" s="679"/>
      <c r="J109" s="676"/>
    </row>
    <row r="110" spans="1:10">
      <c r="A110" s="317" t="s">
        <v>960</v>
      </c>
      <c r="B110" s="317">
        <f>1*8</f>
        <v>8</v>
      </c>
      <c r="C110" s="317">
        <f t="shared" ref="C110:H110" si="64">1*8</f>
        <v>8</v>
      </c>
      <c r="D110" s="317">
        <f t="shared" si="64"/>
        <v>8</v>
      </c>
      <c r="E110" s="317">
        <f t="shared" si="64"/>
        <v>8</v>
      </c>
      <c r="F110" s="317">
        <f t="shared" si="64"/>
        <v>8</v>
      </c>
      <c r="G110" s="317">
        <f t="shared" si="64"/>
        <v>8</v>
      </c>
      <c r="H110" s="317">
        <f t="shared" si="64"/>
        <v>8</v>
      </c>
      <c r="I110" s="418"/>
    </row>
    <row r="111" spans="1:10">
      <c r="A111" s="317" t="s">
        <v>961</v>
      </c>
      <c r="B111" s="317">
        <f>+B7*B8</f>
        <v>2</v>
      </c>
      <c r="C111" s="317">
        <f t="shared" ref="C111:H111" si="65">+B111</f>
        <v>2</v>
      </c>
      <c r="D111" s="345">
        <f t="shared" si="65"/>
        <v>2</v>
      </c>
      <c r="E111" s="345">
        <f t="shared" si="65"/>
        <v>2</v>
      </c>
      <c r="F111" s="345">
        <f t="shared" si="65"/>
        <v>2</v>
      </c>
      <c r="G111" s="345">
        <f t="shared" si="65"/>
        <v>2</v>
      </c>
      <c r="H111" s="345">
        <f t="shared" si="65"/>
        <v>2</v>
      </c>
      <c r="I111" s="418"/>
    </row>
    <row r="112" spans="1:10">
      <c r="A112" s="317" t="s">
        <v>943</v>
      </c>
      <c r="B112" s="317">
        <f>0.5*8</f>
        <v>4</v>
      </c>
      <c r="C112" s="317">
        <f t="shared" ref="C112:H112" si="66">0.5*8</f>
        <v>4</v>
      </c>
      <c r="D112" s="317">
        <f t="shared" si="66"/>
        <v>4</v>
      </c>
      <c r="E112" s="317">
        <f t="shared" si="66"/>
        <v>4</v>
      </c>
      <c r="F112" s="317">
        <f t="shared" si="66"/>
        <v>4</v>
      </c>
      <c r="G112" s="317">
        <f t="shared" si="66"/>
        <v>4</v>
      </c>
      <c r="H112" s="317">
        <f t="shared" si="66"/>
        <v>4</v>
      </c>
      <c r="I112" s="418"/>
    </row>
    <row r="113" spans="1:21">
      <c r="A113" s="317"/>
      <c r="B113" s="317"/>
      <c r="C113" s="317"/>
      <c r="D113" s="317"/>
      <c r="E113" s="317"/>
      <c r="F113" s="317"/>
      <c r="G113" s="317"/>
      <c r="H113" s="317"/>
      <c r="I113" s="418"/>
    </row>
    <row r="114" spans="1:21">
      <c r="A114" s="333" t="s">
        <v>633</v>
      </c>
      <c r="B114" s="317">
        <f t="shared" ref="B114:H114" si="67">+B22/B110</f>
        <v>105</v>
      </c>
      <c r="C114" s="317">
        <f t="shared" si="67"/>
        <v>115.50000000000001</v>
      </c>
      <c r="D114" s="317">
        <f t="shared" si="67"/>
        <v>126.00000000000001</v>
      </c>
      <c r="E114" s="317">
        <f t="shared" si="67"/>
        <v>136.50000000000003</v>
      </c>
      <c r="F114" s="317">
        <f t="shared" si="67"/>
        <v>147.00000000000003</v>
      </c>
      <c r="G114" s="317">
        <f t="shared" si="67"/>
        <v>157.50000000000006</v>
      </c>
      <c r="H114" s="317">
        <f t="shared" si="67"/>
        <v>168.00000000000006</v>
      </c>
      <c r="I114" s="418"/>
    </row>
    <row r="115" spans="1:21">
      <c r="A115" s="333" t="s">
        <v>634</v>
      </c>
      <c r="B115" s="317">
        <f t="shared" ref="B115:H115" si="68">+B32/B110</f>
        <v>45</v>
      </c>
      <c r="C115" s="317">
        <f t="shared" si="68"/>
        <v>49.500000000000007</v>
      </c>
      <c r="D115" s="317">
        <f t="shared" si="68"/>
        <v>54.000000000000007</v>
      </c>
      <c r="E115" s="317">
        <f t="shared" si="68"/>
        <v>58.500000000000014</v>
      </c>
      <c r="F115" s="317">
        <f t="shared" si="68"/>
        <v>63.000000000000014</v>
      </c>
      <c r="G115" s="317">
        <f t="shared" si="68"/>
        <v>67.500000000000014</v>
      </c>
      <c r="H115" s="317">
        <f t="shared" si="68"/>
        <v>72.000000000000028</v>
      </c>
      <c r="I115" s="418"/>
    </row>
    <row r="116" spans="1:21">
      <c r="A116" s="318" t="s">
        <v>962</v>
      </c>
      <c r="B116" s="318">
        <f>+B114+B115</f>
        <v>150</v>
      </c>
      <c r="C116" s="318">
        <f t="shared" ref="C116:H116" si="69">+C114+C115</f>
        <v>165.00000000000003</v>
      </c>
      <c r="D116" s="318">
        <f t="shared" si="69"/>
        <v>180.00000000000003</v>
      </c>
      <c r="E116" s="318">
        <f t="shared" si="69"/>
        <v>195.00000000000006</v>
      </c>
      <c r="F116" s="318">
        <f t="shared" si="69"/>
        <v>210.00000000000006</v>
      </c>
      <c r="G116" s="318">
        <f t="shared" si="69"/>
        <v>225.00000000000006</v>
      </c>
      <c r="H116" s="318">
        <f t="shared" si="69"/>
        <v>240.00000000000009</v>
      </c>
      <c r="I116" s="418"/>
    </row>
    <row r="117" spans="1:21">
      <c r="A117" s="317"/>
      <c r="B117" s="317"/>
      <c r="C117" s="317"/>
      <c r="D117" s="345"/>
      <c r="E117" s="345"/>
      <c r="F117" s="345"/>
      <c r="G117" s="345"/>
      <c r="H117" s="345"/>
      <c r="I117" s="418"/>
    </row>
    <row r="118" spans="1:21">
      <c r="A118" s="333" t="s">
        <v>633</v>
      </c>
      <c r="B118" s="330">
        <f t="shared" ref="B118:H118" si="70">ROUND(B57/B111,0)</f>
        <v>99</v>
      </c>
      <c r="C118" s="330">
        <f t="shared" si="70"/>
        <v>108</v>
      </c>
      <c r="D118" s="330">
        <f t="shared" si="70"/>
        <v>117</v>
      </c>
      <c r="E118" s="330">
        <f t="shared" si="70"/>
        <v>126</v>
      </c>
      <c r="F118" s="330">
        <f t="shared" si="70"/>
        <v>135</v>
      </c>
      <c r="G118" s="330">
        <f t="shared" si="70"/>
        <v>144</v>
      </c>
      <c r="H118" s="330">
        <f t="shared" si="70"/>
        <v>153</v>
      </c>
      <c r="I118" s="418"/>
    </row>
    <row r="119" spans="1:21">
      <c r="A119" s="333" t="s">
        <v>634</v>
      </c>
      <c r="B119" s="330">
        <f t="shared" ref="B119:H119" si="71">ROUND((SUM(B68:B72))/B111,0)</f>
        <v>66</v>
      </c>
      <c r="C119" s="330">
        <f t="shared" si="71"/>
        <v>72</v>
      </c>
      <c r="D119" s="330">
        <f t="shared" si="71"/>
        <v>78</v>
      </c>
      <c r="E119" s="330">
        <f t="shared" si="71"/>
        <v>85</v>
      </c>
      <c r="F119" s="330">
        <f t="shared" si="71"/>
        <v>90</v>
      </c>
      <c r="G119" s="330">
        <f t="shared" si="71"/>
        <v>96</v>
      </c>
      <c r="H119" s="330">
        <f t="shared" si="71"/>
        <v>102</v>
      </c>
      <c r="I119" s="418"/>
    </row>
    <row r="120" spans="1:21" hidden="1">
      <c r="A120" s="318" t="s">
        <v>944</v>
      </c>
      <c r="B120" s="330">
        <f>+B118+B119</f>
        <v>165</v>
      </c>
      <c r="C120" s="330">
        <f t="shared" ref="C120:H120" si="72">+C118+C119</f>
        <v>180</v>
      </c>
      <c r="D120" s="330">
        <f t="shared" si="72"/>
        <v>195</v>
      </c>
      <c r="E120" s="330">
        <f t="shared" si="72"/>
        <v>211</v>
      </c>
      <c r="F120" s="330">
        <f t="shared" si="72"/>
        <v>225</v>
      </c>
      <c r="G120" s="330">
        <f t="shared" si="72"/>
        <v>240</v>
      </c>
      <c r="H120" s="330">
        <f t="shared" si="72"/>
        <v>255</v>
      </c>
      <c r="I120" s="418"/>
    </row>
    <row r="121" spans="1:21" hidden="1">
      <c r="A121" s="318"/>
      <c r="B121" s="317"/>
      <c r="C121" s="317"/>
      <c r="D121" s="345"/>
      <c r="E121" s="345"/>
      <c r="F121" s="345"/>
      <c r="G121" s="345"/>
      <c r="H121" s="345"/>
      <c r="I121" s="418"/>
    </row>
    <row r="122" spans="1:21">
      <c r="A122" s="318" t="s">
        <v>652</v>
      </c>
      <c r="B122" s="318">
        <f t="shared" ref="B122:H122" si="73">B118+B119</f>
        <v>165</v>
      </c>
      <c r="C122" s="318">
        <f t="shared" si="73"/>
        <v>180</v>
      </c>
      <c r="D122" s="342">
        <f t="shared" si="73"/>
        <v>195</v>
      </c>
      <c r="E122" s="342">
        <f t="shared" si="73"/>
        <v>211</v>
      </c>
      <c r="F122" s="342">
        <f t="shared" si="73"/>
        <v>225</v>
      </c>
      <c r="G122" s="342">
        <f t="shared" si="73"/>
        <v>240</v>
      </c>
      <c r="H122" s="342">
        <f t="shared" si="73"/>
        <v>255</v>
      </c>
      <c r="I122" s="423"/>
    </row>
    <row r="123" spans="1:21">
      <c r="A123" s="653"/>
      <c r="B123" s="79"/>
      <c r="C123" s="79"/>
      <c r="D123" s="94"/>
      <c r="E123" s="94"/>
      <c r="F123" s="94"/>
      <c r="G123" s="94"/>
      <c r="H123" s="94"/>
    </row>
    <row r="124" spans="1:21">
      <c r="A124" s="333" t="s">
        <v>946</v>
      </c>
      <c r="B124" s="81">
        <f t="shared" ref="B124:H124" si="74">+B98/B112</f>
        <v>122.03333333333333</v>
      </c>
      <c r="C124" s="81">
        <f t="shared" si="74"/>
        <v>134.56666666666669</v>
      </c>
      <c r="D124" s="81">
        <f t="shared" si="74"/>
        <v>145.43333333333334</v>
      </c>
      <c r="E124" s="81">
        <f t="shared" si="74"/>
        <v>157.96666666666667</v>
      </c>
      <c r="F124" s="81">
        <f t="shared" si="74"/>
        <v>168.00000000000003</v>
      </c>
      <c r="G124" s="81">
        <f t="shared" si="74"/>
        <v>178.8666666666667</v>
      </c>
      <c r="H124" s="81">
        <f t="shared" si="74"/>
        <v>190.56666666666669</v>
      </c>
    </row>
    <row r="125" spans="1:21">
      <c r="A125" s="333"/>
      <c r="B125" s="81"/>
      <c r="C125" s="81"/>
      <c r="D125" s="81"/>
      <c r="E125" s="81"/>
      <c r="F125" s="81"/>
      <c r="G125" s="81"/>
      <c r="H125" s="81"/>
    </row>
    <row r="126" spans="1:21">
      <c r="A126" s="82" t="s">
        <v>945</v>
      </c>
      <c r="B126" s="98">
        <f>+(B122+B124+B116)/3</f>
        <v>145.67777777777778</v>
      </c>
      <c r="C126" s="98">
        <f t="shared" ref="C126:H126" si="75">+(C122+C124+C116)/3</f>
        <v>159.85555555555558</v>
      </c>
      <c r="D126" s="98">
        <f t="shared" si="75"/>
        <v>173.47777777777779</v>
      </c>
      <c r="E126" s="98">
        <f t="shared" si="75"/>
        <v>187.98888888888891</v>
      </c>
      <c r="F126" s="98">
        <f t="shared" si="75"/>
        <v>201</v>
      </c>
      <c r="G126" s="98">
        <f t="shared" si="75"/>
        <v>214.62222222222226</v>
      </c>
      <c r="H126" s="98">
        <f t="shared" si="75"/>
        <v>228.52222222222227</v>
      </c>
    </row>
    <row r="127" spans="1:21">
      <c r="B127" s="27"/>
      <c r="C127" s="27"/>
    </row>
    <row r="128" spans="1:21" ht="18.75">
      <c r="A128" s="703" t="s">
        <v>963</v>
      </c>
      <c r="B128" s="703"/>
      <c r="C128" s="703"/>
      <c r="D128" s="703"/>
      <c r="E128" s="703"/>
      <c r="F128" s="703"/>
      <c r="G128" s="703"/>
      <c r="H128" s="703"/>
      <c r="I128" s="703"/>
      <c r="J128" s="703"/>
      <c r="L128" s="703" t="s">
        <v>535</v>
      </c>
      <c r="M128" s="703"/>
      <c r="N128" s="703"/>
      <c r="O128" s="703"/>
      <c r="P128" s="703"/>
      <c r="Q128" s="703"/>
      <c r="R128" s="703"/>
      <c r="S128" s="703"/>
      <c r="T128" s="703"/>
      <c r="U128" s="703"/>
    </row>
    <row r="129" spans="1:19">
      <c r="A129" s="274"/>
      <c r="B129" s="274"/>
      <c r="C129" s="274"/>
      <c r="D129" s="424"/>
      <c r="E129" s="424"/>
      <c r="F129" s="424"/>
      <c r="G129" s="424"/>
      <c r="H129" s="424"/>
    </row>
    <row r="130" spans="1:19">
      <c r="A130" s="277"/>
      <c r="B130" s="277"/>
      <c r="C130" s="277"/>
      <c r="D130" s="425">
        <v>1</v>
      </c>
      <c r="E130" s="425">
        <f t="shared" ref="E130:J130" si="76">(D130*5%)+D130</f>
        <v>1.05</v>
      </c>
      <c r="F130" s="425">
        <f t="shared" si="76"/>
        <v>1.1025</v>
      </c>
      <c r="G130" s="425">
        <f t="shared" si="76"/>
        <v>1.1576250000000001</v>
      </c>
      <c r="H130" s="425">
        <f t="shared" si="76"/>
        <v>1.2155062500000002</v>
      </c>
      <c r="I130" s="425">
        <f t="shared" si="76"/>
        <v>1.2762815625000004</v>
      </c>
      <c r="J130" s="425">
        <f t="shared" si="76"/>
        <v>1.3400956406250004</v>
      </c>
    </row>
    <row r="131" spans="1:19">
      <c r="A131" s="79"/>
      <c r="B131" s="79"/>
      <c r="C131" s="79"/>
      <c r="D131" s="94"/>
      <c r="E131" s="94"/>
      <c r="F131" s="94"/>
      <c r="G131" s="94"/>
      <c r="H131" s="94"/>
      <c r="I131" s="94"/>
      <c r="J131" s="94"/>
    </row>
    <row r="132" spans="1:19">
      <c r="A132" s="123" t="s">
        <v>0</v>
      </c>
      <c r="B132" s="123" t="s">
        <v>128</v>
      </c>
      <c r="C132" s="123" t="s">
        <v>148</v>
      </c>
      <c r="D132" s="399" t="s">
        <v>2</v>
      </c>
      <c r="E132" s="399" t="s">
        <v>3</v>
      </c>
      <c r="F132" s="399" t="s">
        <v>4</v>
      </c>
      <c r="G132" s="399" t="s">
        <v>5</v>
      </c>
      <c r="H132" s="399" t="s">
        <v>6</v>
      </c>
      <c r="I132" s="399" t="s">
        <v>163</v>
      </c>
      <c r="J132" s="399" t="s">
        <v>162</v>
      </c>
      <c r="S132">
        <v>25</v>
      </c>
    </row>
    <row r="133" spans="1:19">
      <c r="A133" s="80"/>
      <c r="B133" s="80"/>
      <c r="C133" s="80"/>
      <c r="D133" s="364"/>
      <c r="E133" s="364"/>
      <c r="F133" s="364"/>
      <c r="G133" s="364"/>
      <c r="H133" s="364"/>
      <c r="I133" s="364"/>
      <c r="J133" s="364"/>
      <c r="S133">
        <v>1250</v>
      </c>
    </row>
    <row r="134" spans="1:19">
      <c r="A134" s="82" t="s">
        <v>124</v>
      </c>
      <c r="B134" s="82"/>
      <c r="C134" s="82"/>
      <c r="D134" s="426"/>
      <c r="E134" s="426"/>
      <c r="F134" s="426"/>
      <c r="G134" s="426"/>
      <c r="H134" s="426"/>
      <c r="I134" s="364"/>
      <c r="J134" s="364"/>
      <c r="S134">
        <f>+S133*S132</f>
        <v>31250</v>
      </c>
    </row>
    <row r="135" spans="1:19" s="366" customFormat="1">
      <c r="A135" s="364" t="s">
        <v>283</v>
      </c>
      <c r="B135" s="365" t="s">
        <v>288</v>
      </c>
      <c r="C135" s="362">
        <f>+B58</f>
        <v>4000</v>
      </c>
      <c r="D135" s="544">
        <f t="shared" ref="D135:J135" si="77">+B24+B59</f>
        <v>12.96</v>
      </c>
      <c r="E135" s="544">
        <f t="shared" si="77"/>
        <v>14.893200000000002</v>
      </c>
      <c r="F135" s="544">
        <f t="shared" si="77"/>
        <v>16.987320000000004</v>
      </c>
      <c r="G135" s="544">
        <f t="shared" si="77"/>
        <v>19.252359000000006</v>
      </c>
      <c r="H135" s="544">
        <f t="shared" si="77"/>
        <v>21.698612100000005</v>
      </c>
      <c r="I135" s="544">
        <f t="shared" si="77"/>
        <v>24.336688612500012</v>
      </c>
      <c r="J135" s="544">
        <f t="shared" si="77"/>
        <v>27.208131246000015</v>
      </c>
      <c r="K135" s="545"/>
    </row>
    <row r="136" spans="1:19" s="366" customFormat="1">
      <c r="A136" s="364" t="s">
        <v>984</v>
      </c>
      <c r="B136" s="365"/>
      <c r="C136" s="362">
        <f>+D609</f>
        <v>2500</v>
      </c>
      <c r="D136" s="544">
        <f>+F610</f>
        <v>10</v>
      </c>
      <c r="E136" s="544">
        <f t="shared" ref="E136:J136" si="78">+G610</f>
        <v>12.5</v>
      </c>
      <c r="F136" s="544">
        <f t="shared" si="78"/>
        <v>13.750000000000002</v>
      </c>
      <c r="G136" s="544">
        <f t="shared" si="78"/>
        <v>15.000000000000002</v>
      </c>
      <c r="H136" s="544">
        <f t="shared" si="78"/>
        <v>16.250000000000004</v>
      </c>
      <c r="I136" s="544">
        <f t="shared" si="78"/>
        <v>16.250000000000004</v>
      </c>
      <c r="J136" s="544">
        <f t="shared" si="78"/>
        <v>17.5</v>
      </c>
      <c r="K136" s="545"/>
    </row>
    <row r="137" spans="1:19">
      <c r="A137" s="80" t="s">
        <v>682</v>
      </c>
      <c r="B137" s="191" t="s">
        <v>685</v>
      </c>
      <c r="C137" s="191" t="s">
        <v>684</v>
      </c>
      <c r="D137" s="544">
        <f t="shared" ref="D137:J137" si="79">+C245</f>
        <v>189.35826666666665</v>
      </c>
      <c r="E137" s="544">
        <f t="shared" si="79"/>
        <v>226.57166000000007</v>
      </c>
      <c r="F137" s="544">
        <f t="shared" si="79"/>
        <v>258.24327200000005</v>
      </c>
      <c r="G137" s="544">
        <f t="shared" si="79"/>
        <v>295.23833480000002</v>
      </c>
      <c r="H137" s="544">
        <f t="shared" si="79"/>
        <v>331.54361757500004</v>
      </c>
      <c r="I137" s="544">
        <f t="shared" si="79"/>
        <v>371.29781123425005</v>
      </c>
      <c r="J137" s="544">
        <f t="shared" si="79"/>
        <v>411.60755369892507</v>
      </c>
      <c r="K137" s="13"/>
    </row>
    <row r="138" spans="1:19" hidden="1">
      <c r="A138" s="80" t="s">
        <v>683</v>
      </c>
      <c r="B138" s="191" t="s">
        <v>686</v>
      </c>
      <c r="C138" s="191">
        <v>15</v>
      </c>
      <c r="D138" s="544">
        <v>0</v>
      </c>
      <c r="E138" s="544">
        <v>0</v>
      </c>
      <c r="F138" s="544">
        <v>0</v>
      </c>
      <c r="G138" s="544">
        <v>0</v>
      </c>
      <c r="H138" s="544">
        <v>0</v>
      </c>
      <c r="I138" s="544">
        <v>0</v>
      </c>
      <c r="J138" s="544">
        <v>0</v>
      </c>
      <c r="K138" s="13"/>
    </row>
    <row r="139" spans="1:19" hidden="1">
      <c r="A139" s="80" t="s">
        <v>859</v>
      </c>
      <c r="B139" s="191" t="s">
        <v>684</v>
      </c>
      <c r="C139" s="191" t="s">
        <v>684</v>
      </c>
      <c r="D139" s="544">
        <f>+C603</f>
        <v>0</v>
      </c>
      <c r="E139" s="544">
        <f t="shared" ref="E139:J139" si="80">+D603</f>
        <v>0</v>
      </c>
      <c r="F139" s="544">
        <f t="shared" si="80"/>
        <v>0</v>
      </c>
      <c r="G139" s="544">
        <f t="shared" si="80"/>
        <v>0</v>
      </c>
      <c r="H139" s="544">
        <f t="shared" si="80"/>
        <v>0</v>
      </c>
      <c r="I139" s="544">
        <f t="shared" si="80"/>
        <v>0</v>
      </c>
      <c r="J139" s="544">
        <f t="shared" si="80"/>
        <v>0</v>
      </c>
      <c r="K139" s="13"/>
    </row>
    <row r="140" spans="1:19">
      <c r="A140" s="80"/>
      <c r="B140" s="80"/>
      <c r="C140" s="80"/>
      <c r="D140" s="544"/>
      <c r="E140" s="544"/>
      <c r="F140" s="544"/>
      <c r="G140" s="544"/>
      <c r="H140" s="544"/>
      <c r="I140" s="544"/>
      <c r="J140" s="544"/>
      <c r="K140" s="13"/>
    </row>
    <row r="141" spans="1:19">
      <c r="A141" s="82" t="s">
        <v>124</v>
      </c>
      <c r="B141" s="82"/>
      <c r="C141" s="82"/>
      <c r="D141" s="546">
        <f t="shared" ref="D141:J141" si="81">SUM(D135:D139)</f>
        <v>212.31826666666666</v>
      </c>
      <c r="E141" s="546">
        <f t="shared" si="81"/>
        <v>253.96486000000007</v>
      </c>
      <c r="F141" s="546">
        <f t="shared" si="81"/>
        <v>288.98059200000006</v>
      </c>
      <c r="G141" s="546">
        <f t="shared" si="81"/>
        <v>329.49069380000003</v>
      </c>
      <c r="H141" s="546">
        <f t="shared" si="81"/>
        <v>369.49222967500003</v>
      </c>
      <c r="I141" s="546">
        <f t="shared" si="81"/>
        <v>411.88449984675003</v>
      </c>
      <c r="J141" s="546">
        <f t="shared" si="81"/>
        <v>456.31568494492507</v>
      </c>
      <c r="K141" s="13"/>
    </row>
    <row r="142" spans="1:19">
      <c r="A142" s="80"/>
      <c r="B142" s="80"/>
      <c r="C142" s="80"/>
      <c r="D142" s="544"/>
      <c r="E142" s="544"/>
      <c r="F142" s="544"/>
      <c r="G142" s="544"/>
      <c r="H142" s="544"/>
      <c r="I142" s="544"/>
      <c r="J142" s="544"/>
      <c r="K142" s="13"/>
    </row>
    <row r="143" spans="1:19">
      <c r="A143" s="158" t="s">
        <v>747</v>
      </c>
      <c r="B143" s="80"/>
      <c r="C143" s="80" t="s">
        <v>749</v>
      </c>
      <c r="D143" s="544">
        <f t="shared" ref="D143:J144" si="82">+C437</f>
        <v>0</v>
      </c>
      <c r="E143" s="544">
        <f t="shared" si="82"/>
        <v>7.629999999999999</v>
      </c>
      <c r="F143" s="544">
        <f t="shared" si="82"/>
        <v>8.9250000000000007</v>
      </c>
      <c r="G143" s="544">
        <f t="shared" si="82"/>
        <v>10.010725000000001</v>
      </c>
      <c r="H143" s="544">
        <f t="shared" si="82"/>
        <v>11.367883750000001</v>
      </c>
      <c r="I143" s="544">
        <f t="shared" si="82"/>
        <v>12.641231562500002</v>
      </c>
      <c r="J143" s="544">
        <f t="shared" si="82"/>
        <v>14.217696496875003</v>
      </c>
      <c r="K143" s="13"/>
    </row>
    <row r="144" spans="1:19">
      <c r="A144" s="158" t="s">
        <v>748</v>
      </c>
      <c r="B144" s="80"/>
      <c r="C144" s="80" t="s">
        <v>749</v>
      </c>
      <c r="D144" s="544">
        <f t="shared" si="82"/>
        <v>7.629999999999999</v>
      </c>
      <c r="E144" s="544">
        <f t="shared" si="82"/>
        <v>8.9250000000000007</v>
      </c>
      <c r="F144" s="544">
        <f t="shared" si="82"/>
        <v>10.010725000000001</v>
      </c>
      <c r="G144" s="544">
        <f t="shared" si="82"/>
        <v>11.367883750000001</v>
      </c>
      <c r="H144" s="544">
        <f t="shared" si="82"/>
        <v>12.641231562500002</v>
      </c>
      <c r="I144" s="544">
        <f t="shared" si="82"/>
        <v>14.217696496875003</v>
      </c>
      <c r="J144" s="544">
        <f t="shared" si="82"/>
        <v>17.514791793281251</v>
      </c>
      <c r="K144" s="13"/>
    </row>
    <row r="145" spans="1:12">
      <c r="A145" s="80"/>
      <c r="B145" s="80"/>
      <c r="C145" s="80"/>
      <c r="D145" s="544"/>
      <c r="E145" s="544"/>
      <c r="F145" s="544"/>
      <c r="G145" s="544"/>
      <c r="H145" s="544"/>
      <c r="I145" s="544"/>
      <c r="J145" s="544"/>
      <c r="K145" s="13"/>
    </row>
    <row r="146" spans="1:12">
      <c r="A146" s="80"/>
      <c r="B146" s="80"/>
      <c r="C146" s="80"/>
      <c r="D146" s="544"/>
      <c r="E146" s="544"/>
      <c r="F146" s="544"/>
      <c r="G146" s="544"/>
      <c r="H146" s="544"/>
      <c r="I146" s="544"/>
      <c r="J146" s="544"/>
      <c r="K146" s="13"/>
    </row>
    <row r="147" spans="1:12">
      <c r="A147" s="82" t="s">
        <v>137</v>
      </c>
      <c r="B147" s="82"/>
      <c r="C147" s="82"/>
      <c r="D147" s="544"/>
      <c r="E147" s="544"/>
      <c r="F147" s="544"/>
      <c r="G147" s="544"/>
      <c r="H147" s="544"/>
      <c r="I147" s="544"/>
      <c r="J147" s="544"/>
      <c r="K147" s="13"/>
    </row>
    <row r="148" spans="1:12">
      <c r="A148" s="82" t="s">
        <v>301</v>
      </c>
      <c r="B148" s="82"/>
      <c r="C148" s="80"/>
      <c r="D148" s="544"/>
      <c r="E148" s="544"/>
      <c r="F148" s="544"/>
      <c r="G148" s="544"/>
      <c r="H148" s="544"/>
      <c r="I148" s="544"/>
      <c r="J148" s="544"/>
      <c r="K148" s="13"/>
    </row>
    <row r="149" spans="1:12">
      <c r="A149" s="84" t="s">
        <v>745</v>
      </c>
      <c r="B149" s="191" t="s">
        <v>288</v>
      </c>
      <c r="C149" s="214" t="s">
        <v>746</v>
      </c>
      <c r="D149" s="544">
        <f t="shared" ref="D149:J149" si="83">+B506</f>
        <v>152.17378947368422</v>
      </c>
      <c r="E149" s="544">
        <f t="shared" si="83"/>
        <v>174.20711578947373</v>
      </c>
      <c r="F149" s="544">
        <f t="shared" si="83"/>
        <v>198.70734421052632</v>
      </c>
      <c r="G149" s="544">
        <f t="shared" si="83"/>
        <v>226.11284478947368</v>
      </c>
      <c r="H149" s="544">
        <f t="shared" si="83"/>
        <v>253.74551739473688</v>
      </c>
      <c r="I149" s="544">
        <f t="shared" si="83"/>
        <v>283.85705646105265</v>
      </c>
      <c r="J149" s="544">
        <f t="shared" si="83"/>
        <v>318.00969167159877</v>
      </c>
      <c r="K149" s="13"/>
    </row>
    <row r="150" spans="1:12">
      <c r="A150" s="80" t="s">
        <v>307</v>
      </c>
      <c r="B150" s="191" t="s">
        <v>775</v>
      </c>
      <c r="C150" s="191" t="s">
        <v>776</v>
      </c>
      <c r="D150" s="544">
        <f>+B122*300*'Input Sheet'!C161/100000</f>
        <v>4.95</v>
      </c>
      <c r="E150" s="544">
        <f>+C122*300*'Input Sheet'!D161/100000</f>
        <v>5.94</v>
      </c>
      <c r="F150" s="544">
        <f>+D122*300*'Input Sheet'!E161/100000</f>
        <v>7.02</v>
      </c>
      <c r="G150" s="544">
        <f>+E122*300*'Input Sheet'!F161/100000</f>
        <v>8.2289999999999992</v>
      </c>
      <c r="H150" s="544">
        <f>+F122*300*'Input Sheet'!G161/100000</f>
        <v>9.4499999999999993</v>
      </c>
      <c r="I150" s="544">
        <f>+G122*300*'Input Sheet'!H161/100000</f>
        <v>10.8</v>
      </c>
      <c r="J150" s="544">
        <f>+H122*300*'Input Sheet'!I161/100000</f>
        <v>13.005000000000001</v>
      </c>
      <c r="K150" s="13"/>
    </row>
    <row r="151" spans="1:12">
      <c r="A151" s="80" t="s">
        <v>139</v>
      </c>
      <c r="B151" s="457" t="s">
        <v>787</v>
      </c>
      <c r="C151" s="191">
        <f>+'Input Sheet'!B177</f>
        <v>2240.0000000000005</v>
      </c>
      <c r="D151" s="544">
        <f>+B122*'Input Sheet'!$B$177/100000</f>
        <v>3.6960000000000006</v>
      </c>
      <c r="E151" s="544">
        <f>+C122*'Input Sheet'!$B$177/100000</f>
        <v>4.0320000000000009</v>
      </c>
      <c r="F151" s="544">
        <f>+D122*'Input Sheet'!$B$177/100000</f>
        <v>4.3680000000000012</v>
      </c>
      <c r="G151" s="544">
        <f>+E122*'Input Sheet'!$B$177/100000</f>
        <v>4.7264000000000008</v>
      </c>
      <c r="H151" s="544">
        <f>+F122*'Input Sheet'!$B$177/100000</f>
        <v>5.0400000000000009</v>
      </c>
      <c r="I151" s="544">
        <f>+G122*'Input Sheet'!$B$177/100000</f>
        <v>5.3760000000000012</v>
      </c>
      <c r="J151" s="544">
        <f>+H122*'Input Sheet'!$B$177/100000</f>
        <v>5.7120000000000015</v>
      </c>
      <c r="K151" s="13"/>
    </row>
    <row r="152" spans="1:12">
      <c r="A152" s="374" t="s">
        <v>780</v>
      </c>
      <c r="B152" s="457" t="s">
        <v>787</v>
      </c>
      <c r="C152" s="369">
        <v>500</v>
      </c>
      <c r="D152" s="375">
        <f t="shared" ref="D152:J152" si="84">+$C$152*B122/100000</f>
        <v>0.82499999999999996</v>
      </c>
      <c r="E152" s="375">
        <f t="shared" si="84"/>
        <v>0.9</v>
      </c>
      <c r="F152" s="375">
        <f t="shared" si="84"/>
        <v>0.97499999999999998</v>
      </c>
      <c r="G152" s="375">
        <f t="shared" si="84"/>
        <v>1.0549999999999999</v>
      </c>
      <c r="H152" s="375">
        <f t="shared" si="84"/>
        <v>1.125</v>
      </c>
      <c r="I152" s="375">
        <f t="shared" si="84"/>
        <v>1.2</v>
      </c>
      <c r="J152" s="375">
        <f t="shared" si="84"/>
        <v>1.2749999999999999</v>
      </c>
      <c r="K152" s="375">
        <f>500*'[1]Output Schedule'!J122/100000</f>
        <v>0</v>
      </c>
      <c r="L152" s="369">
        <f>500*'[1]Output Schedule'!K122/100000</f>
        <v>0</v>
      </c>
    </row>
    <row r="153" spans="1:12" ht="26.25">
      <c r="A153" s="368" t="s">
        <v>781</v>
      </c>
      <c r="B153" s="457" t="s">
        <v>785</v>
      </c>
      <c r="C153" s="369">
        <v>800</v>
      </c>
      <c r="D153" s="375">
        <f>+$C$153*'Input Sheet'!C161/100000</f>
        <v>0.08</v>
      </c>
      <c r="E153" s="375">
        <f>+$C$153*'Input Sheet'!D161/100000</f>
        <v>8.7999999999999995E-2</v>
      </c>
      <c r="F153" s="375">
        <f>+$C$153*'Input Sheet'!E161/100000</f>
        <v>9.6000000000000002E-2</v>
      </c>
      <c r="G153" s="375">
        <f>+$C$153*'Input Sheet'!F161/100000</f>
        <v>0.104</v>
      </c>
      <c r="H153" s="375">
        <f>+$C$153*'Input Sheet'!G161/100000</f>
        <v>0.112</v>
      </c>
      <c r="I153" s="375">
        <f>+$C$153*'Input Sheet'!H161/100000</f>
        <v>0.12</v>
      </c>
      <c r="J153" s="375">
        <f>+$C$153*'Input Sheet'!I161/100000</f>
        <v>0.13600000000000001</v>
      </c>
      <c r="K153" s="375">
        <f>800*'[1]Manpower Schedule'!J82/100000</f>
        <v>0</v>
      </c>
      <c r="L153" s="369">
        <f>800*'[1]Manpower Schedule'!K82/100000</f>
        <v>0</v>
      </c>
    </row>
    <row r="154" spans="1:12">
      <c r="A154" s="374" t="s">
        <v>782</v>
      </c>
      <c r="B154" s="456" t="s">
        <v>786</v>
      </c>
      <c r="C154" s="375">
        <v>500</v>
      </c>
      <c r="D154" s="375">
        <f t="shared" ref="D154:J154" si="85">+$C$154*B73/100000</f>
        <v>0.65500000000000003</v>
      </c>
      <c r="E154" s="375">
        <f t="shared" si="85"/>
        <v>0.72</v>
      </c>
      <c r="F154" s="375">
        <f t="shared" si="85"/>
        <v>0.78</v>
      </c>
      <c r="G154" s="375">
        <f t="shared" si="85"/>
        <v>0.84499999999999997</v>
      </c>
      <c r="H154" s="375">
        <f t="shared" si="85"/>
        <v>0.9</v>
      </c>
      <c r="I154" s="375">
        <f t="shared" si="85"/>
        <v>0.95499999999999996</v>
      </c>
      <c r="J154" s="375">
        <f t="shared" si="85"/>
        <v>1.02</v>
      </c>
      <c r="K154" s="375">
        <f>500*'[1]Output Schedule'!J76/100000</f>
        <v>0</v>
      </c>
      <c r="L154" s="369">
        <f>500*'[1]Output Schedule'!K76/100000</f>
        <v>0</v>
      </c>
    </row>
    <row r="155" spans="1:12">
      <c r="A155" s="368" t="s">
        <v>880</v>
      </c>
      <c r="B155" s="457" t="s">
        <v>787</v>
      </c>
      <c r="C155" s="369">
        <v>900</v>
      </c>
      <c r="D155" s="375">
        <f t="shared" ref="D155:J155" si="86">+$C$155*B122/100000</f>
        <v>1.4850000000000001</v>
      </c>
      <c r="E155" s="375">
        <f t="shared" si="86"/>
        <v>1.62</v>
      </c>
      <c r="F155" s="375">
        <f t="shared" si="86"/>
        <v>1.7549999999999999</v>
      </c>
      <c r="G155" s="375">
        <f t="shared" si="86"/>
        <v>1.899</v>
      </c>
      <c r="H155" s="375">
        <f t="shared" si="86"/>
        <v>2.0249999999999999</v>
      </c>
      <c r="I155" s="375">
        <f t="shared" si="86"/>
        <v>2.16</v>
      </c>
      <c r="J155" s="375">
        <f t="shared" si="86"/>
        <v>2.2949999999999999</v>
      </c>
      <c r="K155" s="375">
        <f>300*'[1]Output Schedule'!J122/100000</f>
        <v>0</v>
      </c>
      <c r="L155" s="369">
        <f>300*'[1]Output Schedule'!K122/100000</f>
        <v>0</v>
      </c>
    </row>
    <row r="156" spans="1:12">
      <c r="A156" s="368" t="s">
        <v>783</v>
      </c>
      <c r="B156" s="456" t="s">
        <v>786</v>
      </c>
      <c r="C156" s="369">
        <v>160</v>
      </c>
      <c r="D156" s="375">
        <f t="shared" ref="D156:J156" si="87">+$C$156*(+SUM(C185,C197,C206,C214,C219))/100000</f>
        <v>0.89870933333333347</v>
      </c>
      <c r="E156" s="375">
        <f t="shared" si="87"/>
        <v>1.0271786666666669</v>
      </c>
      <c r="F156" s="375">
        <f t="shared" si="87"/>
        <v>1.1177813333333333</v>
      </c>
      <c r="G156" s="375">
        <f t="shared" si="87"/>
        <v>1.2126506666666668</v>
      </c>
      <c r="H156" s="375">
        <f t="shared" si="87"/>
        <v>1.3011200000000003</v>
      </c>
      <c r="I156" s="375">
        <f t="shared" si="87"/>
        <v>1.3901226666666668</v>
      </c>
      <c r="J156" s="375">
        <f t="shared" si="87"/>
        <v>1.4796586666666669</v>
      </c>
      <c r="K156" s="375">
        <f>500*('[1]Sales Schedule'!K63+'[1]Sales Schedule'!K67+'[1]Sales Schedule'!K71)/100000</f>
        <v>0</v>
      </c>
      <c r="L156" s="369">
        <f>500*('[1]Sales Schedule'!L63+'[1]Sales Schedule'!L67+'[1]Sales Schedule'!L71)/100000</f>
        <v>0</v>
      </c>
    </row>
    <row r="157" spans="1:12">
      <c r="A157" s="368" t="s">
        <v>784</v>
      </c>
      <c r="B157" s="457" t="s">
        <v>787</v>
      </c>
      <c r="C157" s="369">
        <v>500</v>
      </c>
      <c r="D157" s="375">
        <f t="shared" ref="D157:J157" si="88">+$C$157*B122/100000</f>
        <v>0.82499999999999996</v>
      </c>
      <c r="E157" s="375">
        <f t="shared" si="88"/>
        <v>0.9</v>
      </c>
      <c r="F157" s="375">
        <f t="shared" si="88"/>
        <v>0.97499999999999998</v>
      </c>
      <c r="G157" s="375">
        <f t="shared" si="88"/>
        <v>1.0549999999999999</v>
      </c>
      <c r="H157" s="375">
        <f t="shared" si="88"/>
        <v>1.125</v>
      </c>
      <c r="I157" s="375">
        <f t="shared" si="88"/>
        <v>1.2</v>
      </c>
      <c r="J157" s="375">
        <f t="shared" si="88"/>
        <v>1.2749999999999999</v>
      </c>
      <c r="K157" s="375">
        <f>500*'[1]Output Schedule'!J122/100000</f>
        <v>0</v>
      </c>
      <c r="L157" s="369">
        <f>500*'[1]Output Schedule'!K122/100000</f>
        <v>0</v>
      </c>
    </row>
    <row r="158" spans="1:12">
      <c r="A158" s="10"/>
      <c r="B158" s="10"/>
      <c r="C158" s="10"/>
      <c r="D158" s="547"/>
      <c r="E158" s="547"/>
      <c r="F158" s="547"/>
      <c r="G158" s="547"/>
      <c r="H158" s="547"/>
      <c r="I158" s="547"/>
      <c r="J158" s="547"/>
      <c r="K158" s="13"/>
    </row>
    <row r="159" spans="1:12">
      <c r="A159" s="10"/>
      <c r="B159" s="10"/>
      <c r="C159" s="10"/>
      <c r="D159" s="547"/>
      <c r="E159" s="547"/>
      <c r="F159" s="547"/>
      <c r="G159" s="547"/>
      <c r="H159" s="547"/>
      <c r="I159" s="547"/>
      <c r="J159" s="547"/>
      <c r="K159" s="13"/>
    </row>
    <row r="160" spans="1:12">
      <c r="A160" s="158" t="s">
        <v>730</v>
      </c>
      <c r="B160" s="81"/>
      <c r="C160" s="81"/>
      <c r="D160" s="544">
        <f t="shared" ref="D160:J161" si="89">+B586</f>
        <v>0</v>
      </c>
      <c r="E160" s="544">
        <f t="shared" si="89"/>
        <v>1.35</v>
      </c>
      <c r="F160" s="544">
        <f t="shared" si="89"/>
        <v>1.4175</v>
      </c>
      <c r="G160" s="544">
        <f t="shared" si="89"/>
        <v>1.488375</v>
      </c>
      <c r="H160" s="544">
        <f t="shared" si="89"/>
        <v>1.5628187499999999</v>
      </c>
      <c r="I160" s="544">
        <f t="shared" si="89"/>
        <v>1.6409296874999999</v>
      </c>
      <c r="J160" s="544">
        <f t="shared" si="89"/>
        <v>1.7230111718750001</v>
      </c>
      <c r="K160" s="13"/>
    </row>
    <row r="161" spans="1:14">
      <c r="A161" s="158" t="s">
        <v>731</v>
      </c>
      <c r="B161" s="81"/>
      <c r="C161" s="81"/>
      <c r="D161" s="544">
        <f t="shared" si="89"/>
        <v>1.35</v>
      </c>
      <c r="E161" s="544">
        <f t="shared" si="89"/>
        <v>1.4175</v>
      </c>
      <c r="F161" s="544">
        <f t="shared" si="89"/>
        <v>1.488375</v>
      </c>
      <c r="G161" s="544">
        <f t="shared" si="89"/>
        <v>1.5628187499999999</v>
      </c>
      <c r="H161" s="544">
        <f t="shared" si="89"/>
        <v>1.6409296874999999</v>
      </c>
      <c r="I161" s="544">
        <f t="shared" si="89"/>
        <v>1.7230111718750001</v>
      </c>
      <c r="J161" s="544">
        <f t="shared" si="89"/>
        <v>1.8091717304687502</v>
      </c>
      <c r="K161" s="13"/>
    </row>
    <row r="162" spans="1:14">
      <c r="A162" s="81"/>
      <c r="B162" s="81"/>
      <c r="C162" s="81"/>
      <c r="D162" s="544"/>
      <c r="E162" s="544"/>
      <c r="F162" s="544"/>
      <c r="G162" s="544"/>
      <c r="H162" s="544"/>
      <c r="I162" s="544"/>
      <c r="J162" s="544"/>
      <c r="K162" s="13"/>
    </row>
    <row r="163" spans="1:14">
      <c r="A163" s="98" t="s">
        <v>308</v>
      </c>
      <c r="B163" s="81"/>
      <c r="C163" s="81"/>
      <c r="D163" s="546">
        <f t="shared" ref="D163:J163" si="90">SUM(D149:D160)-D161</f>
        <v>164.23849880701755</v>
      </c>
      <c r="E163" s="546">
        <f t="shared" si="90"/>
        <v>189.36679445614041</v>
      </c>
      <c r="F163" s="546">
        <f t="shared" si="90"/>
        <v>215.72325054385965</v>
      </c>
      <c r="G163" s="546">
        <f t="shared" si="90"/>
        <v>245.16445170614037</v>
      </c>
      <c r="H163" s="546">
        <f t="shared" si="90"/>
        <v>274.74552645723696</v>
      </c>
      <c r="I163" s="546">
        <f t="shared" si="90"/>
        <v>306.9760976433443</v>
      </c>
      <c r="J163" s="546">
        <f t="shared" si="90"/>
        <v>344.12118977967168</v>
      </c>
      <c r="K163" s="13"/>
    </row>
    <row r="164" spans="1:14">
      <c r="A164" s="79"/>
      <c r="B164" s="79"/>
      <c r="C164" s="79"/>
      <c r="D164" s="548"/>
      <c r="E164" s="548"/>
      <c r="F164" s="548"/>
      <c r="G164" s="548"/>
      <c r="H164" s="548"/>
      <c r="I164" s="548"/>
      <c r="J164" s="548"/>
      <c r="K164" s="13"/>
    </row>
    <row r="165" spans="1:14">
      <c r="A165" s="159" t="s">
        <v>299</v>
      </c>
      <c r="B165" s="159"/>
      <c r="C165" s="159"/>
      <c r="D165" s="546"/>
      <c r="E165" s="546"/>
      <c r="F165" s="546"/>
      <c r="G165" s="546"/>
      <c r="H165" s="546"/>
      <c r="I165" s="546"/>
      <c r="J165" s="546"/>
      <c r="K165" s="13"/>
    </row>
    <row r="166" spans="1:14">
      <c r="A166" s="159"/>
      <c r="B166" s="159"/>
      <c r="C166" s="159"/>
      <c r="D166" s="546"/>
      <c r="E166" s="546"/>
      <c r="F166" s="546"/>
      <c r="G166" s="546"/>
      <c r="H166" s="546"/>
      <c r="I166" s="546"/>
      <c r="J166" s="546"/>
      <c r="K166" s="13"/>
    </row>
    <row r="167" spans="1:14">
      <c r="A167" s="367" t="s">
        <v>711</v>
      </c>
      <c r="B167" s="370"/>
      <c r="C167" s="368"/>
      <c r="D167" s="549"/>
      <c r="E167" s="549"/>
      <c r="F167" s="549"/>
      <c r="G167" s="549"/>
      <c r="H167" s="549"/>
      <c r="I167" s="549"/>
      <c r="J167" s="550"/>
      <c r="K167" s="376"/>
      <c r="L167" s="372"/>
      <c r="M167" s="254"/>
      <c r="N167" s="254"/>
    </row>
    <row r="168" spans="1:14" ht="27.75" customHeight="1">
      <c r="A168" s="368" t="s">
        <v>712</v>
      </c>
      <c r="B168" s="371" t="s">
        <v>713</v>
      </c>
      <c r="C168" s="458">
        <v>0.01</v>
      </c>
      <c r="D168" s="428">
        <f>+('2.Capex Details'!$G$68+'2.Capex Details'!$G$12)*'13.Facility 2 Grain Processing'!$C$168</f>
        <v>1.8604437999999999</v>
      </c>
      <c r="E168" s="428">
        <f>+D168*E130</f>
        <v>1.95346599</v>
      </c>
      <c r="F168" s="428">
        <f>+$D$168*F130</f>
        <v>2.0511392895</v>
      </c>
      <c r="G168" s="428">
        <f>+$D$168*G130</f>
        <v>2.1536962539750002</v>
      </c>
      <c r="H168" s="428">
        <f>+$D$168*H130</f>
        <v>2.2613810666737502</v>
      </c>
      <c r="I168" s="428">
        <f>+$D$168*I130</f>
        <v>2.3744501200074382</v>
      </c>
      <c r="J168" s="428">
        <f>+$D$168*J130</f>
        <v>2.49317262600781</v>
      </c>
      <c r="K168" s="373"/>
      <c r="L168" s="373"/>
      <c r="M168" s="254"/>
      <c r="N168" s="254"/>
    </row>
    <row r="169" spans="1:14" ht="21.75" customHeight="1">
      <c r="A169" s="368" t="s">
        <v>714</v>
      </c>
      <c r="B169" s="368" t="s">
        <v>715</v>
      </c>
      <c r="C169" s="459">
        <v>5.0000000000000001E-3</v>
      </c>
      <c r="D169" s="428">
        <f>+('2.Capex Details'!$G$68+'2.Capex Details'!$G$12)*C169</f>
        <v>0.93022189999999993</v>
      </c>
      <c r="E169" s="428">
        <f t="shared" ref="E169:J169" si="91">+$D$169*E130</f>
        <v>0.97673299499999999</v>
      </c>
      <c r="F169" s="428">
        <f t="shared" si="91"/>
        <v>1.02556964475</v>
      </c>
      <c r="G169" s="428">
        <f t="shared" si="91"/>
        <v>1.0768481269875001</v>
      </c>
      <c r="H169" s="428">
        <f t="shared" si="91"/>
        <v>1.1306905333368751</v>
      </c>
      <c r="I169" s="428">
        <f t="shared" si="91"/>
        <v>1.1872250600037191</v>
      </c>
      <c r="J169" s="428">
        <f t="shared" si="91"/>
        <v>1.246586313003905</v>
      </c>
      <c r="K169" s="373"/>
      <c r="L169" s="373"/>
      <c r="M169" s="254"/>
      <c r="N169" s="254"/>
    </row>
    <row r="170" spans="1:14" ht="29.25" customHeight="1">
      <c r="A170" s="368" t="s">
        <v>716</v>
      </c>
      <c r="B170" s="368" t="s">
        <v>717</v>
      </c>
      <c r="C170" s="369" t="s">
        <v>788</v>
      </c>
      <c r="D170" s="428">
        <f>+SUM('Input Sheet'!H149:H155)</f>
        <v>6.12</v>
      </c>
      <c r="E170" s="428">
        <f t="shared" ref="E170:J170" si="92">+$D$170*E130</f>
        <v>6.4260000000000002</v>
      </c>
      <c r="F170" s="428">
        <f t="shared" si="92"/>
        <v>6.7473000000000001</v>
      </c>
      <c r="G170" s="428">
        <f t="shared" si="92"/>
        <v>7.0846650000000011</v>
      </c>
      <c r="H170" s="428">
        <f t="shared" si="92"/>
        <v>7.4388982500000012</v>
      </c>
      <c r="I170" s="428">
        <f t="shared" si="92"/>
        <v>7.8108431625000021</v>
      </c>
      <c r="J170" s="428">
        <f t="shared" si="92"/>
        <v>8.2013853206250023</v>
      </c>
      <c r="K170" s="373"/>
      <c r="L170" s="373"/>
      <c r="M170" s="254"/>
      <c r="N170" s="254"/>
    </row>
    <row r="171" spans="1:14" ht="23.25" customHeight="1">
      <c r="A171" s="368" t="s">
        <v>718</v>
      </c>
      <c r="B171" s="368" t="s">
        <v>966</v>
      </c>
      <c r="C171" s="369"/>
      <c r="D171" s="428">
        <f>+'Input Sheet'!E169/100000</f>
        <v>0.72</v>
      </c>
      <c r="E171" s="428">
        <f t="shared" ref="E171:J171" si="93">+$D$171*E130</f>
        <v>0.75600000000000001</v>
      </c>
      <c r="F171" s="428">
        <f t="shared" si="93"/>
        <v>0.79379999999999995</v>
      </c>
      <c r="G171" s="428">
        <f t="shared" si="93"/>
        <v>0.83349000000000006</v>
      </c>
      <c r="H171" s="428">
        <f t="shared" si="93"/>
        <v>0.87516450000000012</v>
      </c>
      <c r="I171" s="428">
        <f t="shared" si="93"/>
        <v>0.91892272500000027</v>
      </c>
      <c r="J171" s="428">
        <f t="shared" si="93"/>
        <v>0.96486886125000026</v>
      </c>
      <c r="K171" s="373"/>
      <c r="L171" s="373"/>
      <c r="M171" s="254"/>
      <c r="N171" s="254"/>
    </row>
    <row r="172" spans="1:14">
      <c r="A172" s="82" t="s">
        <v>789</v>
      </c>
      <c r="B172" s="82"/>
      <c r="C172" s="82"/>
      <c r="D172" s="401">
        <f t="shared" ref="D172:J172" si="94">SUM(D168:D171)</f>
        <v>9.6306656999999998</v>
      </c>
      <c r="E172" s="401">
        <f t="shared" si="94"/>
        <v>10.112198985000001</v>
      </c>
      <c r="F172" s="401">
        <f t="shared" si="94"/>
        <v>10.617808934249998</v>
      </c>
      <c r="G172" s="401">
        <f t="shared" si="94"/>
        <v>11.148699380962501</v>
      </c>
      <c r="H172" s="401">
        <f t="shared" si="94"/>
        <v>11.706134350010627</v>
      </c>
      <c r="I172" s="401">
        <f t="shared" si="94"/>
        <v>12.29144106751116</v>
      </c>
      <c r="J172" s="401">
        <f t="shared" si="94"/>
        <v>12.906013120886717</v>
      </c>
    </row>
    <row r="173" spans="1:14">
      <c r="A173" s="159" t="s">
        <v>287</v>
      </c>
      <c r="B173" s="159"/>
      <c r="C173" s="159"/>
      <c r="D173" s="401">
        <f t="shared" ref="D173:J173" si="95">D163+D172</f>
        <v>173.86916450701756</v>
      </c>
      <c r="E173" s="401">
        <f t="shared" si="95"/>
        <v>199.4789934411404</v>
      </c>
      <c r="F173" s="401">
        <f t="shared" si="95"/>
        <v>226.34105947810966</v>
      </c>
      <c r="G173" s="401">
        <f t="shared" si="95"/>
        <v>256.31315108710288</v>
      </c>
      <c r="H173" s="401">
        <f t="shared" si="95"/>
        <v>286.45166080724761</v>
      </c>
      <c r="I173" s="401">
        <f t="shared" si="95"/>
        <v>319.26753871085549</v>
      </c>
      <c r="J173" s="401">
        <f t="shared" si="95"/>
        <v>357.02720290055839</v>
      </c>
    </row>
    <row r="174" spans="1:14">
      <c r="A174" s="80"/>
      <c r="B174" s="80"/>
      <c r="C174" s="80"/>
      <c r="D174" s="363"/>
      <c r="E174" s="363"/>
      <c r="F174" s="363"/>
      <c r="G174" s="363"/>
      <c r="H174" s="363"/>
      <c r="I174" s="363"/>
      <c r="J174" s="363"/>
    </row>
    <row r="175" spans="1:14">
      <c r="A175" s="82" t="s">
        <v>7</v>
      </c>
      <c r="B175" s="82"/>
      <c r="C175" s="82"/>
      <c r="D175" s="401">
        <f t="shared" ref="D175:J175" si="96">D141-D173+D144-D143</f>
        <v>46.079102159649096</v>
      </c>
      <c r="E175" s="401">
        <f t="shared" si="96"/>
        <v>55.780866558859671</v>
      </c>
      <c r="F175" s="401">
        <f t="shared" si="96"/>
        <v>63.725257521890413</v>
      </c>
      <c r="G175" s="401">
        <f t="shared" si="96"/>
        <v>74.534701462897146</v>
      </c>
      <c r="H175" s="401">
        <f t="shared" si="96"/>
        <v>84.313916680252419</v>
      </c>
      <c r="I175" s="401">
        <f t="shared" si="96"/>
        <v>94.193426070269552</v>
      </c>
      <c r="J175" s="401">
        <f t="shared" si="96"/>
        <v>102.58557734077291</v>
      </c>
    </row>
    <row r="176" spans="1:14">
      <c r="A176" s="99"/>
      <c r="B176" s="99"/>
      <c r="C176" s="99"/>
      <c r="D176" s="94">
        <v>32.199981500000057</v>
      </c>
      <c r="E176" s="94">
        <v>38.349792650000012</v>
      </c>
      <c r="F176" s="94">
        <v>44.659582550000003</v>
      </c>
      <c r="G176" s="94">
        <v>50.390134799999984</v>
      </c>
      <c r="H176" s="94">
        <v>56.489053268125019</v>
      </c>
      <c r="I176" s="94">
        <v>64.811177488437735</v>
      </c>
      <c r="J176" s="94">
        <v>72.201281362860954</v>
      </c>
    </row>
    <row r="177" spans="1:10">
      <c r="A177" s="99"/>
      <c r="B177" s="99"/>
      <c r="C177" s="99"/>
      <c r="D177" s="94"/>
      <c r="E177" s="94"/>
      <c r="F177" s="94"/>
      <c r="G177" s="94"/>
      <c r="H177" s="94"/>
      <c r="I177" s="94"/>
      <c r="J177" s="94"/>
    </row>
    <row r="178" spans="1:10">
      <c r="A178" s="99"/>
      <c r="B178" s="99"/>
      <c r="C178" s="99"/>
      <c r="D178" s="94"/>
      <c r="E178" s="94"/>
      <c r="F178" s="94"/>
      <c r="G178" s="94"/>
      <c r="H178" s="94"/>
      <c r="I178" s="94"/>
      <c r="J178" s="94"/>
    </row>
    <row r="179" spans="1:10" ht="20.25">
      <c r="A179" s="772" t="s">
        <v>790</v>
      </c>
      <c r="B179" s="772"/>
      <c r="C179" s="772"/>
      <c r="D179" s="772"/>
      <c r="E179" s="772"/>
      <c r="F179" s="772"/>
      <c r="G179" s="772"/>
      <c r="H179" s="772"/>
      <c r="I179" s="772"/>
      <c r="J179" s="94"/>
    </row>
    <row r="180" spans="1:10">
      <c r="A180" s="99"/>
      <c r="B180" s="99"/>
      <c r="C180" s="99"/>
      <c r="D180" s="94"/>
      <c r="E180" s="94"/>
      <c r="F180" s="94"/>
      <c r="G180" s="94"/>
      <c r="H180" s="94"/>
      <c r="I180" s="94"/>
      <c r="J180" s="94"/>
    </row>
    <row r="181" spans="1:10" ht="20.25">
      <c r="A181" s="614" t="s">
        <v>669</v>
      </c>
      <c r="B181" s="614"/>
      <c r="C181" s="614"/>
      <c r="D181" s="614"/>
      <c r="E181" s="614"/>
      <c r="F181" s="614"/>
      <c r="G181" s="614"/>
      <c r="H181" s="614"/>
      <c r="I181" s="614"/>
      <c r="J181" s="94"/>
    </row>
    <row r="182" spans="1:10">
      <c r="A182" s="123" t="s">
        <v>656</v>
      </c>
      <c r="B182" s="123" t="s">
        <v>0</v>
      </c>
      <c r="C182" s="123" t="s">
        <v>2</v>
      </c>
      <c r="D182" s="123" t="s">
        <v>3</v>
      </c>
      <c r="E182" s="123" t="s">
        <v>4</v>
      </c>
      <c r="F182" s="123" t="s">
        <v>5</v>
      </c>
      <c r="G182" s="123" t="s">
        <v>6</v>
      </c>
      <c r="H182" s="123" t="s">
        <v>163</v>
      </c>
      <c r="I182" s="123" t="s">
        <v>162</v>
      </c>
      <c r="J182" s="366">
        <v>4</v>
      </c>
    </row>
    <row r="183" spans="1:10">
      <c r="A183" s="335"/>
      <c r="B183" s="336"/>
      <c r="C183" s="337"/>
      <c r="D183" s="429"/>
      <c r="E183" s="429"/>
      <c r="F183" s="429"/>
      <c r="G183" s="429"/>
      <c r="H183" s="429"/>
      <c r="I183" s="429"/>
    </row>
    <row r="184" spans="1:10">
      <c r="A184" s="335"/>
      <c r="B184" s="338" t="str">
        <f>+'Input Sheet'!B68</f>
        <v>Flax Seed</v>
      </c>
      <c r="C184" s="337"/>
      <c r="D184" s="429"/>
      <c r="E184" s="429"/>
      <c r="F184" s="429"/>
      <c r="G184" s="429"/>
      <c r="H184" s="429"/>
      <c r="I184" s="429"/>
    </row>
    <row r="185" spans="1:10">
      <c r="A185" s="339" t="s">
        <v>167</v>
      </c>
      <c r="B185" s="316" t="str">
        <f>+A76</f>
        <v>Flax Oil</v>
      </c>
      <c r="C185" s="333">
        <f t="shared" ref="C185:I185" si="97">+C253</f>
        <v>7</v>
      </c>
      <c r="D185" s="391">
        <f t="shared" si="97"/>
        <v>7</v>
      </c>
      <c r="E185" s="391">
        <f t="shared" si="97"/>
        <v>8</v>
      </c>
      <c r="F185" s="391">
        <f t="shared" si="97"/>
        <v>9</v>
      </c>
      <c r="G185" s="391">
        <f t="shared" si="97"/>
        <v>9</v>
      </c>
      <c r="H185" s="391">
        <f t="shared" si="97"/>
        <v>10</v>
      </c>
      <c r="I185" s="391">
        <f t="shared" si="97"/>
        <v>10</v>
      </c>
    </row>
    <row r="186" spans="1:10">
      <c r="A186" s="317"/>
      <c r="B186" s="333" t="s">
        <v>657</v>
      </c>
      <c r="C186" s="340">
        <f t="shared" ref="C186:I186" si="98">+C269</f>
        <v>139000</v>
      </c>
      <c r="D186" s="430">
        <f t="shared" si="98"/>
        <v>145950</v>
      </c>
      <c r="E186" s="430">
        <f t="shared" si="98"/>
        <v>153250</v>
      </c>
      <c r="F186" s="430">
        <f t="shared" si="98"/>
        <v>160910</v>
      </c>
      <c r="G186" s="430">
        <f t="shared" si="98"/>
        <v>168960</v>
      </c>
      <c r="H186" s="430">
        <f t="shared" si="98"/>
        <v>177410</v>
      </c>
      <c r="I186" s="430">
        <f t="shared" si="98"/>
        <v>186280</v>
      </c>
    </row>
    <row r="187" spans="1:10">
      <c r="A187" s="317"/>
      <c r="B187" s="316" t="s">
        <v>658</v>
      </c>
      <c r="C187" s="341">
        <f t="shared" ref="C187:I187" si="99">C185*C186/100000</f>
        <v>9.73</v>
      </c>
      <c r="D187" s="431">
        <f t="shared" si="99"/>
        <v>10.2165</v>
      </c>
      <c r="E187" s="431">
        <f t="shared" si="99"/>
        <v>12.26</v>
      </c>
      <c r="F187" s="431">
        <f t="shared" si="99"/>
        <v>14.4819</v>
      </c>
      <c r="G187" s="431">
        <f t="shared" si="99"/>
        <v>15.2064</v>
      </c>
      <c r="H187" s="431">
        <f t="shared" si="99"/>
        <v>17.741</v>
      </c>
      <c r="I187" s="431">
        <f t="shared" si="99"/>
        <v>18.628</v>
      </c>
    </row>
    <row r="188" spans="1:10" hidden="1">
      <c r="A188" s="339" t="s">
        <v>168</v>
      </c>
      <c r="B188" s="316" t="str">
        <f>+A77</f>
        <v>Oil Cake</v>
      </c>
      <c r="C188" s="333">
        <f t="shared" ref="C188:I188" si="100">+C259</f>
        <v>45.720000000000006</v>
      </c>
      <c r="D188" s="391">
        <f t="shared" si="100"/>
        <v>50.240000000000009</v>
      </c>
      <c r="E188" s="391">
        <f t="shared" si="100"/>
        <v>54.760000000000005</v>
      </c>
      <c r="F188" s="391">
        <f t="shared" si="100"/>
        <v>59.280000000000008</v>
      </c>
      <c r="G188" s="391">
        <f t="shared" si="100"/>
        <v>62.800000000000004</v>
      </c>
      <c r="H188" s="391">
        <f t="shared" si="100"/>
        <v>67.320000000000022</v>
      </c>
      <c r="I188" s="391">
        <f t="shared" si="100"/>
        <v>71.840000000000018</v>
      </c>
    </row>
    <row r="189" spans="1:10" hidden="1">
      <c r="A189" s="317"/>
      <c r="B189" s="333" t="s">
        <v>657</v>
      </c>
      <c r="C189" s="340">
        <f t="shared" ref="C189:I189" si="101">+C270</f>
        <v>0</v>
      </c>
      <c r="D189" s="430">
        <f t="shared" si="101"/>
        <v>0</v>
      </c>
      <c r="E189" s="430">
        <f t="shared" si="101"/>
        <v>0</v>
      </c>
      <c r="F189" s="430">
        <f t="shared" si="101"/>
        <v>0</v>
      </c>
      <c r="G189" s="430">
        <f t="shared" si="101"/>
        <v>0</v>
      </c>
      <c r="H189" s="430">
        <f t="shared" si="101"/>
        <v>0</v>
      </c>
      <c r="I189" s="430">
        <f t="shared" si="101"/>
        <v>0</v>
      </c>
    </row>
    <row r="190" spans="1:10" hidden="1">
      <c r="A190" s="317"/>
      <c r="B190" s="316" t="s">
        <v>658</v>
      </c>
      <c r="C190" s="341">
        <f t="shared" ref="C190:I190" si="102">C188*C189/100000</f>
        <v>0</v>
      </c>
      <c r="D190" s="431">
        <f t="shared" si="102"/>
        <v>0</v>
      </c>
      <c r="E190" s="431">
        <f t="shared" si="102"/>
        <v>0</v>
      </c>
      <c r="F190" s="431">
        <f t="shared" si="102"/>
        <v>0</v>
      </c>
      <c r="G190" s="431">
        <f t="shared" si="102"/>
        <v>0</v>
      </c>
      <c r="H190" s="431">
        <f t="shared" si="102"/>
        <v>0</v>
      </c>
      <c r="I190" s="431">
        <f t="shared" si="102"/>
        <v>0</v>
      </c>
    </row>
    <row r="191" spans="1:10" hidden="1">
      <c r="A191" s="317"/>
      <c r="B191" s="317"/>
      <c r="C191" s="317"/>
      <c r="D191" s="345"/>
      <c r="E191" s="345"/>
      <c r="F191" s="345"/>
      <c r="G191" s="345"/>
      <c r="H191" s="345"/>
      <c r="I191" s="345"/>
    </row>
    <row r="192" spans="1:10" hidden="1">
      <c r="A192" s="339" t="s">
        <v>169</v>
      </c>
      <c r="B192" s="343" t="str">
        <f>+A78</f>
        <v>Waste</v>
      </c>
      <c r="C192" s="333">
        <f t="shared" ref="C192:I192" si="103">+C265</f>
        <v>1</v>
      </c>
      <c r="D192" s="391">
        <f t="shared" si="103"/>
        <v>1</v>
      </c>
      <c r="E192" s="391">
        <f t="shared" si="103"/>
        <v>2</v>
      </c>
      <c r="F192" s="391">
        <f t="shared" si="103"/>
        <v>2</v>
      </c>
      <c r="G192" s="391">
        <f t="shared" si="103"/>
        <v>2</v>
      </c>
      <c r="H192" s="391">
        <f t="shared" si="103"/>
        <v>2</v>
      </c>
      <c r="I192" s="391">
        <f t="shared" si="103"/>
        <v>2</v>
      </c>
    </row>
    <row r="193" spans="1:9" hidden="1">
      <c r="A193" s="317"/>
      <c r="B193" s="333" t="s">
        <v>657</v>
      </c>
      <c r="C193" s="340">
        <f t="shared" ref="C193:I193" si="104">+C271</f>
        <v>0</v>
      </c>
      <c r="D193" s="430">
        <f t="shared" si="104"/>
        <v>0</v>
      </c>
      <c r="E193" s="430">
        <f t="shared" si="104"/>
        <v>0</v>
      </c>
      <c r="F193" s="430">
        <f t="shared" si="104"/>
        <v>0</v>
      </c>
      <c r="G193" s="430">
        <f t="shared" si="104"/>
        <v>0</v>
      </c>
      <c r="H193" s="430">
        <f t="shared" si="104"/>
        <v>0</v>
      </c>
      <c r="I193" s="430">
        <f t="shared" si="104"/>
        <v>0</v>
      </c>
    </row>
    <row r="194" spans="1:9" hidden="1">
      <c r="A194" s="317"/>
      <c r="B194" s="316" t="s">
        <v>658</v>
      </c>
      <c r="C194" s="341">
        <f t="shared" ref="C194:I194" si="105">C192*C193/100000</f>
        <v>0</v>
      </c>
      <c r="D194" s="431">
        <f t="shared" si="105"/>
        <v>0</v>
      </c>
      <c r="E194" s="431">
        <f t="shared" si="105"/>
        <v>0</v>
      </c>
      <c r="F194" s="431">
        <f t="shared" si="105"/>
        <v>0</v>
      </c>
      <c r="G194" s="431">
        <f t="shared" si="105"/>
        <v>0</v>
      </c>
      <c r="H194" s="431">
        <f t="shared" si="105"/>
        <v>0</v>
      </c>
      <c r="I194" s="431">
        <f t="shared" si="105"/>
        <v>0</v>
      </c>
    </row>
    <row r="195" spans="1:9">
      <c r="A195" s="317"/>
      <c r="B195" s="317"/>
      <c r="C195" s="317"/>
      <c r="D195" s="345"/>
      <c r="E195" s="345"/>
      <c r="F195" s="345"/>
      <c r="G195" s="345"/>
      <c r="H195" s="345"/>
      <c r="I195" s="345"/>
    </row>
    <row r="196" spans="1:9">
      <c r="A196" s="335"/>
      <c r="B196" s="338" t="str">
        <f>+'Input Sheet'!B69</f>
        <v>safflower</v>
      </c>
      <c r="C196" s="337"/>
      <c r="D196" s="429"/>
      <c r="E196" s="429"/>
      <c r="F196" s="429"/>
      <c r="G196" s="429"/>
      <c r="H196" s="429"/>
      <c r="I196" s="429"/>
    </row>
    <row r="197" spans="1:9">
      <c r="A197" s="339" t="s">
        <v>167</v>
      </c>
      <c r="B197" s="316" t="str">
        <f>+A81</f>
        <v>safflower Oil</v>
      </c>
      <c r="C197" s="333">
        <f t="shared" ref="C197:I197" si="106">+C293</f>
        <v>3</v>
      </c>
      <c r="D197" s="391">
        <f t="shared" si="106"/>
        <v>4</v>
      </c>
      <c r="E197" s="391">
        <f t="shared" si="106"/>
        <v>4</v>
      </c>
      <c r="F197" s="391">
        <f t="shared" si="106"/>
        <v>4</v>
      </c>
      <c r="G197" s="391">
        <f t="shared" si="106"/>
        <v>5</v>
      </c>
      <c r="H197" s="391">
        <f t="shared" si="106"/>
        <v>5</v>
      </c>
      <c r="I197" s="391">
        <f t="shared" si="106"/>
        <v>5</v>
      </c>
    </row>
    <row r="198" spans="1:9">
      <c r="A198" s="317"/>
      <c r="B198" s="333" t="s">
        <v>657</v>
      </c>
      <c r="C198" s="340">
        <f t="shared" ref="C198:I198" si="107">+C304</f>
        <v>144000</v>
      </c>
      <c r="D198" s="430">
        <f t="shared" si="107"/>
        <v>151200</v>
      </c>
      <c r="E198" s="430">
        <f t="shared" si="107"/>
        <v>158760</v>
      </c>
      <c r="F198" s="430">
        <f t="shared" si="107"/>
        <v>166700</v>
      </c>
      <c r="G198" s="430">
        <f t="shared" si="107"/>
        <v>175040</v>
      </c>
      <c r="H198" s="430">
        <f t="shared" si="107"/>
        <v>183790</v>
      </c>
      <c r="I198" s="430">
        <f t="shared" si="107"/>
        <v>192980</v>
      </c>
    </row>
    <row r="199" spans="1:9">
      <c r="A199" s="317"/>
      <c r="B199" s="316" t="s">
        <v>658</v>
      </c>
      <c r="C199" s="341">
        <f t="shared" ref="C199:I199" si="108">C197*C198/100000</f>
        <v>4.32</v>
      </c>
      <c r="D199" s="431">
        <f t="shared" si="108"/>
        <v>6.048</v>
      </c>
      <c r="E199" s="431">
        <f t="shared" si="108"/>
        <v>6.3503999999999996</v>
      </c>
      <c r="F199" s="431">
        <f t="shared" si="108"/>
        <v>6.6680000000000001</v>
      </c>
      <c r="G199" s="431">
        <f t="shared" si="108"/>
        <v>8.7520000000000007</v>
      </c>
      <c r="H199" s="431">
        <f t="shared" si="108"/>
        <v>9.1895000000000007</v>
      </c>
      <c r="I199" s="431">
        <f t="shared" si="108"/>
        <v>9.6489999999999991</v>
      </c>
    </row>
    <row r="200" spans="1:9">
      <c r="A200" s="317"/>
      <c r="B200" s="317"/>
      <c r="C200" s="317"/>
      <c r="D200" s="345"/>
      <c r="E200" s="345"/>
      <c r="F200" s="345"/>
      <c r="G200" s="345"/>
      <c r="H200" s="345"/>
      <c r="I200" s="345"/>
    </row>
    <row r="201" spans="1:9" hidden="1">
      <c r="A201" s="339" t="s">
        <v>168</v>
      </c>
      <c r="B201" s="316" t="str">
        <f>+A82</f>
        <v>Oil Cake</v>
      </c>
      <c r="C201" s="333">
        <f t="shared" ref="C201:I201" si="109">+C299</f>
        <v>22.860000000000003</v>
      </c>
      <c r="D201" s="391">
        <f t="shared" si="109"/>
        <v>25.120000000000005</v>
      </c>
      <c r="E201" s="391">
        <f t="shared" si="109"/>
        <v>27.380000000000003</v>
      </c>
      <c r="F201" s="391">
        <f t="shared" si="109"/>
        <v>29.640000000000004</v>
      </c>
      <c r="G201" s="391">
        <f t="shared" si="109"/>
        <v>31.900000000000002</v>
      </c>
      <c r="H201" s="391">
        <f t="shared" si="109"/>
        <v>33.160000000000011</v>
      </c>
      <c r="I201" s="391">
        <f t="shared" si="109"/>
        <v>35.420000000000009</v>
      </c>
    </row>
    <row r="202" spans="1:9" hidden="1">
      <c r="A202" s="317"/>
      <c r="B202" s="333" t="s">
        <v>657</v>
      </c>
      <c r="C202" s="340">
        <f>+'Input Sheet'!C99</f>
        <v>0</v>
      </c>
      <c r="D202" s="340">
        <f>+'Input Sheet'!D99</f>
        <v>0</v>
      </c>
      <c r="E202" s="340">
        <f>+'Input Sheet'!E99</f>
        <v>0</v>
      </c>
      <c r="F202" s="340">
        <f>+'Input Sheet'!F99</f>
        <v>0</v>
      </c>
      <c r="G202" s="340">
        <f>+'Input Sheet'!G99</f>
        <v>0</v>
      </c>
      <c r="H202" s="340">
        <f>+'Input Sheet'!H99</f>
        <v>0</v>
      </c>
      <c r="I202" s="340">
        <f>+'Input Sheet'!I99</f>
        <v>0</v>
      </c>
    </row>
    <row r="203" spans="1:9" hidden="1">
      <c r="A203" s="317"/>
      <c r="B203" s="316" t="s">
        <v>658</v>
      </c>
      <c r="C203" s="341">
        <f t="shared" ref="C203:I203" si="110">C201*C202/100000</f>
        <v>0</v>
      </c>
      <c r="D203" s="431">
        <f t="shared" si="110"/>
        <v>0</v>
      </c>
      <c r="E203" s="431">
        <f t="shared" si="110"/>
        <v>0</v>
      </c>
      <c r="F203" s="431">
        <f t="shared" si="110"/>
        <v>0</v>
      </c>
      <c r="G203" s="431">
        <f t="shared" si="110"/>
        <v>0</v>
      </c>
      <c r="H203" s="431">
        <f t="shared" si="110"/>
        <v>0</v>
      </c>
      <c r="I203" s="431">
        <f t="shared" si="110"/>
        <v>0</v>
      </c>
    </row>
    <row r="204" spans="1:9">
      <c r="A204" s="317"/>
      <c r="B204" s="317"/>
      <c r="C204" s="317"/>
      <c r="D204" s="345"/>
      <c r="E204" s="345"/>
      <c r="F204" s="345"/>
      <c r="G204" s="345"/>
      <c r="H204" s="345"/>
      <c r="I204" s="345"/>
    </row>
    <row r="205" spans="1:9">
      <c r="A205" s="335"/>
      <c r="B205" s="338" t="str">
        <f>+'Input Sheet'!B71</f>
        <v>Mustered</v>
      </c>
      <c r="C205" s="337"/>
      <c r="D205" s="429"/>
      <c r="E205" s="429"/>
      <c r="F205" s="429"/>
      <c r="G205" s="429"/>
      <c r="H205" s="429"/>
      <c r="I205" s="429"/>
    </row>
    <row r="206" spans="1:9">
      <c r="A206" s="339" t="s">
        <v>167</v>
      </c>
      <c r="B206" s="316" t="str">
        <f>+A86</f>
        <v>Mustered Oil</v>
      </c>
      <c r="C206" s="333">
        <f t="shared" ref="C206:I206" si="111">+C319</f>
        <v>22</v>
      </c>
      <c r="D206" s="391">
        <f t="shared" si="111"/>
        <v>25</v>
      </c>
      <c r="E206" s="391">
        <f t="shared" si="111"/>
        <v>27</v>
      </c>
      <c r="F206" s="391">
        <f t="shared" si="111"/>
        <v>30</v>
      </c>
      <c r="G206" s="391">
        <f t="shared" si="111"/>
        <v>32</v>
      </c>
      <c r="H206" s="391">
        <f t="shared" si="111"/>
        <v>34</v>
      </c>
      <c r="I206" s="391">
        <f t="shared" si="111"/>
        <v>35</v>
      </c>
    </row>
    <row r="207" spans="1:9">
      <c r="A207" s="317"/>
      <c r="B207" s="333" t="s">
        <v>657</v>
      </c>
      <c r="C207" s="340">
        <f t="shared" ref="C207:I207" si="112">+C330</f>
        <v>135000</v>
      </c>
      <c r="D207" s="430">
        <f t="shared" si="112"/>
        <v>141750</v>
      </c>
      <c r="E207" s="430">
        <f t="shared" si="112"/>
        <v>148840</v>
      </c>
      <c r="F207" s="430">
        <f t="shared" si="112"/>
        <v>156280</v>
      </c>
      <c r="G207" s="430">
        <f t="shared" si="112"/>
        <v>164090</v>
      </c>
      <c r="H207" s="430">
        <f t="shared" si="112"/>
        <v>172290</v>
      </c>
      <c r="I207" s="430">
        <f t="shared" si="112"/>
        <v>180900</v>
      </c>
    </row>
    <row r="208" spans="1:9">
      <c r="A208" s="317"/>
      <c r="B208" s="316" t="s">
        <v>658</v>
      </c>
      <c r="C208" s="341">
        <f t="shared" ref="C208:I208" si="113">C206*C207/100000</f>
        <v>29.7</v>
      </c>
      <c r="D208" s="431">
        <f t="shared" si="113"/>
        <v>35.4375</v>
      </c>
      <c r="E208" s="431">
        <f t="shared" si="113"/>
        <v>40.186799999999998</v>
      </c>
      <c r="F208" s="431">
        <f t="shared" si="113"/>
        <v>46.884</v>
      </c>
      <c r="G208" s="431">
        <f t="shared" si="113"/>
        <v>52.508800000000001</v>
      </c>
      <c r="H208" s="431">
        <f t="shared" si="113"/>
        <v>58.578600000000002</v>
      </c>
      <c r="I208" s="431">
        <f t="shared" si="113"/>
        <v>63.314999999999998</v>
      </c>
    </row>
    <row r="209" spans="1:9">
      <c r="A209" s="317"/>
      <c r="B209" s="316"/>
      <c r="C209" s="341"/>
      <c r="D209" s="431"/>
      <c r="E209" s="431"/>
      <c r="F209" s="431"/>
      <c r="G209" s="431"/>
      <c r="H209" s="431"/>
      <c r="I209" s="431"/>
    </row>
    <row r="210" spans="1:9" hidden="1">
      <c r="A210" s="317" t="s">
        <v>168</v>
      </c>
      <c r="B210" s="316" t="str">
        <f>+'Input Sheet'!B44</f>
        <v>Oil Cake</v>
      </c>
      <c r="C210" s="341">
        <f>+C325</f>
        <v>77.86</v>
      </c>
      <c r="D210" s="341">
        <f t="shared" ref="D210:I210" si="114">+D325</f>
        <v>86.12</v>
      </c>
      <c r="E210" s="341">
        <f t="shared" si="114"/>
        <v>92.38</v>
      </c>
      <c r="F210" s="341">
        <f t="shared" si="114"/>
        <v>100.64</v>
      </c>
      <c r="G210" s="341">
        <f t="shared" si="114"/>
        <v>106.9</v>
      </c>
      <c r="H210" s="341">
        <f t="shared" si="114"/>
        <v>114.16000000000001</v>
      </c>
      <c r="I210" s="341">
        <f t="shared" si="114"/>
        <v>121.42000000000002</v>
      </c>
    </row>
    <row r="211" spans="1:9" hidden="1">
      <c r="A211" s="317"/>
      <c r="B211" s="333" t="s">
        <v>657</v>
      </c>
      <c r="C211" s="341">
        <f>+C331</f>
        <v>0</v>
      </c>
      <c r="D211" s="341">
        <f t="shared" ref="D211:I211" si="115">+D331</f>
        <v>0</v>
      </c>
      <c r="E211" s="341">
        <f t="shared" si="115"/>
        <v>0</v>
      </c>
      <c r="F211" s="341">
        <f t="shared" si="115"/>
        <v>0</v>
      </c>
      <c r="G211" s="341">
        <f t="shared" si="115"/>
        <v>0</v>
      </c>
      <c r="H211" s="341">
        <f t="shared" si="115"/>
        <v>0</v>
      </c>
      <c r="I211" s="341">
        <f t="shared" si="115"/>
        <v>0</v>
      </c>
    </row>
    <row r="212" spans="1:9" hidden="1">
      <c r="A212" s="317"/>
      <c r="B212" s="316" t="s">
        <v>658</v>
      </c>
      <c r="C212" s="341">
        <f t="shared" ref="C212:I212" si="116">C210*C211/100000</f>
        <v>0</v>
      </c>
      <c r="D212" s="431">
        <f t="shared" si="116"/>
        <v>0</v>
      </c>
      <c r="E212" s="431">
        <f t="shared" si="116"/>
        <v>0</v>
      </c>
      <c r="F212" s="431">
        <f t="shared" si="116"/>
        <v>0</v>
      </c>
      <c r="G212" s="431">
        <f t="shared" si="116"/>
        <v>0</v>
      </c>
      <c r="H212" s="431">
        <f t="shared" si="116"/>
        <v>0</v>
      </c>
      <c r="I212" s="431">
        <f t="shared" si="116"/>
        <v>0</v>
      </c>
    </row>
    <row r="213" spans="1:9">
      <c r="A213" s="317"/>
      <c r="B213" s="316" t="s">
        <v>947</v>
      </c>
      <c r="C213" s="341"/>
      <c r="D213" s="431"/>
      <c r="E213" s="431"/>
      <c r="F213" s="431"/>
      <c r="G213" s="431"/>
      <c r="H213" s="431"/>
      <c r="I213" s="431"/>
    </row>
    <row r="214" spans="1:9">
      <c r="A214" s="317"/>
      <c r="B214" s="316" t="s">
        <v>965</v>
      </c>
      <c r="C214" s="341">
        <f>+C361</f>
        <v>61.56</v>
      </c>
      <c r="D214" s="341">
        <f t="shared" ref="D214:I214" si="117">+D361</f>
        <v>70.720000000000027</v>
      </c>
      <c r="E214" s="341">
        <f t="shared" si="117"/>
        <v>79.880000000000038</v>
      </c>
      <c r="F214" s="341">
        <f t="shared" si="117"/>
        <v>85.040000000000106</v>
      </c>
      <c r="G214" s="341">
        <f t="shared" si="117"/>
        <v>97.200000000000045</v>
      </c>
      <c r="H214" s="341">
        <f t="shared" si="117"/>
        <v>106.36000000000004</v>
      </c>
      <c r="I214" s="341">
        <f t="shared" si="117"/>
        <v>114.52000000000015</v>
      </c>
    </row>
    <row r="215" spans="1:9">
      <c r="A215" s="317"/>
      <c r="B215" s="333" t="s">
        <v>657</v>
      </c>
      <c r="C215" s="341">
        <f>+C365</f>
        <v>16000</v>
      </c>
      <c r="D215" s="341">
        <f t="shared" ref="D215:I215" si="118">+D365</f>
        <v>16800</v>
      </c>
      <c r="E215" s="341">
        <f t="shared" si="118"/>
        <v>17640</v>
      </c>
      <c r="F215" s="341">
        <f t="shared" si="118"/>
        <v>18522</v>
      </c>
      <c r="G215" s="341">
        <f t="shared" si="118"/>
        <v>19448.100000000002</v>
      </c>
      <c r="H215" s="341">
        <f t="shared" si="118"/>
        <v>20420.505000000005</v>
      </c>
      <c r="I215" s="341">
        <f t="shared" si="118"/>
        <v>21441.530250000007</v>
      </c>
    </row>
    <row r="216" spans="1:9">
      <c r="A216" s="317"/>
      <c r="B216" s="316" t="s">
        <v>658</v>
      </c>
      <c r="C216" s="341">
        <f>+C214*C215/100000</f>
        <v>9.8496000000000006</v>
      </c>
      <c r="D216" s="341">
        <f t="shared" ref="D216:I216" si="119">+D214*D215/100000</f>
        <v>11.880960000000005</v>
      </c>
      <c r="E216" s="341">
        <f t="shared" si="119"/>
        <v>14.090832000000006</v>
      </c>
      <c r="F216" s="341">
        <f t="shared" si="119"/>
        <v>15.75110880000002</v>
      </c>
      <c r="G216" s="341">
        <f t="shared" si="119"/>
        <v>18.903553200000012</v>
      </c>
      <c r="H216" s="341">
        <f t="shared" si="119"/>
        <v>21.719249118000011</v>
      </c>
      <c r="I216" s="341">
        <f t="shared" si="119"/>
        <v>24.554840442300044</v>
      </c>
    </row>
    <row r="217" spans="1:9">
      <c r="A217" s="317"/>
      <c r="B217" s="316"/>
      <c r="C217" s="341"/>
      <c r="D217" s="431"/>
      <c r="E217" s="431"/>
      <c r="F217" s="431"/>
      <c r="G217" s="431"/>
      <c r="H217" s="431"/>
      <c r="I217" s="431"/>
    </row>
    <row r="218" spans="1:9">
      <c r="A218" s="317"/>
      <c r="B218" s="316"/>
      <c r="C218" s="341"/>
      <c r="D218" s="431"/>
      <c r="E218" s="431"/>
      <c r="F218" s="431"/>
      <c r="G218" s="431"/>
      <c r="H218" s="431"/>
      <c r="I218" s="431"/>
    </row>
    <row r="219" spans="1:9">
      <c r="A219" s="317"/>
      <c r="B219" s="316" t="s">
        <v>936</v>
      </c>
      <c r="C219" s="341">
        <f>+C344</f>
        <v>468.13333333333333</v>
      </c>
      <c r="D219" s="341">
        <f t="shared" ref="D219:I219" si="120">+D344</f>
        <v>535.26666666666677</v>
      </c>
      <c r="E219" s="341">
        <f t="shared" si="120"/>
        <v>579.73333333333335</v>
      </c>
      <c r="F219" s="341">
        <f t="shared" si="120"/>
        <v>629.86666666666667</v>
      </c>
      <c r="G219" s="341">
        <f t="shared" si="120"/>
        <v>670.00000000000011</v>
      </c>
      <c r="H219" s="341">
        <f t="shared" si="120"/>
        <v>713.46666666666681</v>
      </c>
      <c r="I219" s="341">
        <f t="shared" si="120"/>
        <v>760.26666666666677</v>
      </c>
    </row>
    <row r="220" spans="1:9">
      <c r="A220" s="317"/>
      <c r="B220" s="333" t="s">
        <v>657</v>
      </c>
      <c r="C220" s="341">
        <v>29000</v>
      </c>
      <c r="D220" s="431">
        <f>+C220*1.05</f>
        <v>30450</v>
      </c>
      <c r="E220" s="431">
        <f t="shared" ref="E220:I220" si="121">+D220*1.05</f>
        <v>31972.5</v>
      </c>
      <c r="F220" s="431">
        <f t="shared" si="121"/>
        <v>33571.125</v>
      </c>
      <c r="G220" s="431">
        <f t="shared" si="121"/>
        <v>35249.681250000001</v>
      </c>
      <c r="H220" s="431">
        <f t="shared" si="121"/>
        <v>37012.165312500001</v>
      </c>
      <c r="I220" s="431">
        <f t="shared" si="121"/>
        <v>38862.773578125001</v>
      </c>
    </row>
    <row r="221" spans="1:9">
      <c r="A221" s="317"/>
      <c r="B221" s="316" t="s">
        <v>658</v>
      </c>
      <c r="C221" s="652">
        <f>+C219*C220/100000</f>
        <v>135.75866666666667</v>
      </c>
      <c r="D221" s="652">
        <f t="shared" ref="D221:I221" si="122">+D219*D220/100000</f>
        <v>162.98870000000005</v>
      </c>
      <c r="E221" s="652">
        <f t="shared" si="122"/>
        <v>185.35524000000001</v>
      </c>
      <c r="F221" s="652">
        <f t="shared" si="122"/>
        <v>211.453326</v>
      </c>
      <c r="G221" s="652">
        <f t="shared" si="122"/>
        <v>236.17286437500005</v>
      </c>
      <c r="H221" s="652">
        <f t="shared" si="122"/>
        <v>264.06946211625007</v>
      </c>
      <c r="I221" s="652">
        <f t="shared" si="122"/>
        <v>295.46071325662507</v>
      </c>
    </row>
    <row r="222" spans="1:9" hidden="1">
      <c r="A222" s="335"/>
      <c r="B222" s="316" t="s">
        <v>658</v>
      </c>
      <c r="C222" s="337"/>
      <c r="D222" s="429"/>
      <c r="E222" s="429"/>
      <c r="F222" s="429"/>
      <c r="G222" s="429"/>
      <c r="H222" s="429"/>
      <c r="I222" s="429"/>
    </row>
    <row r="223" spans="1:9" hidden="1">
      <c r="A223" s="339" t="s">
        <v>167</v>
      </c>
      <c r="B223" s="316" t="str">
        <f>+A101</f>
        <v>Grade 1</v>
      </c>
      <c r="C223" s="333">
        <f t="shared" ref="C223:I223" si="123">+C378</f>
        <v>0</v>
      </c>
      <c r="D223" s="391" t="e">
        <f t="shared" si="123"/>
        <v>#REF!</v>
      </c>
      <c r="E223" s="391" t="e">
        <f t="shared" si="123"/>
        <v>#REF!</v>
      </c>
      <c r="F223" s="391" t="e">
        <f t="shared" si="123"/>
        <v>#REF!</v>
      </c>
      <c r="G223" s="391" t="e">
        <f t="shared" si="123"/>
        <v>#REF!</v>
      </c>
      <c r="H223" s="391" t="e">
        <f t="shared" si="123"/>
        <v>#REF!</v>
      </c>
      <c r="I223" s="391" t="e">
        <f t="shared" si="123"/>
        <v>#REF!</v>
      </c>
    </row>
    <row r="224" spans="1:9" hidden="1">
      <c r="A224" s="317"/>
      <c r="B224" s="333" t="s">
        <v>657</v>
      </c>
      <c r="C224" s="340">
        <f t="shared" ref="C224:I224" si="124">+C394</f>
        <v>0</v>
      </c>
      <c r="D224" s="430">
        <f t="shared" si="124"/>
        <v>0</v>
      </c>
      <c r="E224" s="430">
        <f t="shared" si="124"/>
        <v>0</v>
      </c>
      <c r="F224" s="430">
        <f t="shared" si="124"/>
        <v>0</v>
      </c>
      <c r="G224" s="430">
        <f t="shared" si="124"/>
        <v>0</v>
      </c>
      <c r="H224" s="430">
        <f t="shared" si="124"/>
        <v>0</v>
      </c>
      <c r="I224" s="430">
        <f t="shared" si="124"/>
        <v>0</v>
      </c>
    </row>
    <row r="225" spans="1:9" hidden="1">
      <c r="A225" s="317"/>
      <c r="B225" s="316" t="s">
        <v>658</v>
      </c>
      <c r="C225" s="341">
        <f t="shared" ref="C225:I225" si="125">C223*C224/100000</f>
        <v>0</v>
      </c>
      <c r="D225" s="431" t="e">
        <f t="shared" si="125"/>
        <v>#REF!</v>
      </c>
      <c r="E225" s="431" t="e">
        <f t="shared" si="125"/>
        <v>#REF!</v>
      </c>
      <c r="F225" s="431" t="e">
        <f t="shared" si="125"/>
        <v>#REF!</v>
      </c>
      <c r="G225" s="431" t="e">
        <f t="shared" si="125"/>
        <v>#REF!</v>
      </c>
      <c r="H225" s="431" t="e">
        <f t="shared" si="125"/>
        <v>#REF!</v>
      </c>
      <c r="I225" s="431" t="e">
        <f t="shared" si="125"/>
        <v>#REF!</v>
      </c>
    </row>
    <row r="226" spans="1:9" hidden="1">
      <c r="A226" s="317"/>
      <c r="B226" s="317"/>
      <c r="C226" s="317"/>
      <c r="D226" s="345"/>
      <c r="E226" s="345"/>
      <c r="F226" s="345"/>
      <c r="G226" s="345"/>
      <c r="H226" s="345"/>
      <c r="I226" s="345"/>
    </row>
    <row r="227" spans="1:9" hidden="1">
      <c r="A227" s="339" t="s">
        <v>168</v>
      </c>
      <c r="B227" s="316" t="str">
        <f>+A102</f>
        <v>Grade 2</v>
      </c>
      <c r="C227" s="333">
        <f t="shared" ref="C227:I227" si="126">+C384</f>
        <v>0</v>
      </c>
      <c r="D227" s="391">
        <f t="shared" si="126"/>
        <v>0</v>
      </c>
      <c r="E227" s="391">
        <f t="shared" si="126"/>
        <v>0</v>
      </c>
      <c r="F227" s="391">
        <f t="shared" si="126"/>
        <v>0</v>
      </c>
      <c r="G227" s="391">
        <f t="shared" si="126"/>
        <v>0</v>
      </c>
      <c r="H227" s="391">
        <f t="shared" si="126"/>
        <v>0</v>
      </c>
      <c r="I227" s="391">
        <f t="shared" si="126"/>
        <v>0</v>
      </c>
    </row>
    <row r="228" spans="1:9" hidden="1">
      <c r="A228" s="317"/>
      <c r="B228" s="333" t="s">
        <v>657</v>
      </c>
      <c r="C228" s="340">
        <f t="shared" ref="C228:I228" si="127">+C395</f>
        <v>0</v>
      </c>
      <c r="D228" s="430">
        <f t="shared" si="127"/>
        <v>0</v>
      </c>
      <c r="E228" s="430">
        <f t="shared" si="127"/>
        <v>0</v>
      </c>
      <c r="F228" s="430">
        <f t="shared" si="127"/>
        <v>0</v>
      </c>
      <c r="G228" s="430">
        <f t="shared" si="127"/>
        <v>0</v>
      </c>
      <c r="H228" s="430">
        <f t="shared" si="127"/>
        <v>0</v>
      </c>
      <c r="I228" s="430">
        <f t="shared" si="127"/>
        <v>0</v>
      </c>
    </row>
    <row r="229" spans="1:9" hidden="1">
      <c r="A229" s="317"/>
      <c r="B229" s="316" t="s">
        <v>658</v>
      </c>
      <c r="C229" s="341">
        <f t="shared" ref="C229:I229" si="128">C227*C228/100000</f>
        <v>0</v>
      </c>
      <c r="D229" s="431">
        <f t="shared" si="128"/>
        <v>0</v>
      </c>
      <c r="E229" s="431">
        <f t="shared" si="128"/>
        <v>0</v>
      </c>
      <c r="F229" s="431">
        <f t="shared" si="128"/>
        <v>0</v>
      </c>
      <c r="G229" s="431">
        <f t="shared" si="128"/>
        <v>0</v>
      </c>
      <c r="H229" s="431">
        <f t="shared" si="128"/>
        <v>0</v>
      </c>
      <c r="I229" s="431">
        <f t="shared" si="128"/>
        <v>0</v>
      </c>
    </row>
    <row r="230" spans="1:9" hidden="1">
      <c r="A230" s="317"/>
      <c r="B230" s="317"/>
      <c r="C230" s="317"/>
      <c r="D230" s="345"/>
      <c r="E230" s="345"/>
      <c r="F230" s="345"/>
      <c r="G230" s="345"/>
      <c r="H230" s="345"/>
      <c r="I230" s="345"/>
    </row>
    <row r="231" spans="1:9" hidden="1">
      <c r="A231" s="339" t="s">
        <v>169</v>
      </c>
      <c r="B231" s="316" t="str">
        <f>+A103</f>
        <v>Animal Feed</v>
      </c>
      <c r="C231" s="333">
        <f t="shared" ref="C231:I231" si="129">+C390</f>
        <v>0</v>
      </c>
      <c r="D231" s="391">
        <f t="shared" si="129"/>
        <v>0</v>
      </c>
      <c r="E231" s="391">
        <f t="shared" si="129"/>
        <v>0</v>
      </c>
      <c r="F231" s="391">
        <f t="shared" si="129"/>
        <v>0</v>
      </c>
      <c r="G231" s="391">
        <f t="shared" si="129"/>
        <v>0</v>
      </c>
      <c r="H231" s="391">
        <f t="shared" si="129"/>
        <v>0</v>
      </c>
      <c r="I231" s="391">
        <f t="shared" si="129"/>
        <v>0</v>
      </c>
    </row>
    <row r="232" spans="1:9" hidden="1">
      <c r="A232" s="317"/>
      <c r="B232" s="333" t="s">
        <v>657</v>
      </c>
      <c r="C232" s="340">
        <f t="shared" ref="C232:I232" si="130">+C396</f>
        <v>0</v>
      </c>
      <c r="D232" s="430">
        <f t="shared" si="130"/>
        <v>0</v>
      </c>
      <c r="E232" s="430">
        <f t="shared" si="130"/>
        <v>0</v>
      </c>
      <c r="F232" s="430">
        <f t="shared" si="130"/>
        <v>0</v>
      </c>
      <c r="G232" s="430">
        <f t="shared" si="130"/>
        <v>0</v>
      </c>
      <c r="H232" s="430">
        <f t="shared" si="130"/>
        <v>0</v>
      </c>
      <c r="I232" s="430">
        <f t="shared" si="130"/>
        <v>0</v>
      </c>
    </row>
    <row r="233" spans="1:9" hidden="1">
      <c r="A233" s="317"/>
      <c r="B233" s="316" t="s">
        <v>658</v>
      </c>
      <c r="C233" s="341">
        <f t="shared" ref="C233:I233" si="131">C231*C232/100000</f>
        <v>0</v>
      </c>
      <c r="D233" s="431">
        <f t="shared" si="131"/>
        <v>0</v>
      </c>
      <c r="E233" s="431">
        <f t="shared" si="131"/>
        <v>0</v>
      </c>
      <c r="F233" s="431">
        <f t="shared" si="131"/>
        <v>0</v>
      </c>
      <c r="G233" s="431">
        <f t="shared" si="131"/>
        <v>0</v>
      </c>
      <c r="H233" s="431">
        <f t="shared" si="131"/>
        <v>0</v>
      </c>
      <c r="I233" s="431">
        <f t="shared" si="131"/>
        <v>0</v>
      </c>
    </row>
    <row r="234" spans="1:9" hidden="1">
      <c r="A234" s="317"/>
      <c r="B234" s="316"/>
      <c r="C234" s="341"/>
      <c r="D234" s="431"/>
      <c r="E234" s="431"/>
      <c r="F234" s="431"/>
      <c r="G234" s="431"/>
      <c r="H234" s="431"/>
      <c r="I234" s="431"/>
    </row>
    <row r="235" spans="1:9" hidden="1">
      <c r="A235" s="335"/>
      <c r="B235" s="338" t="str">
        <f>+'Input Sheet'!B73</f>
        <v>Chilli</v>
      </c>
      <c r="C235" s="337"/>
      <c r="D235" s="429"/>
      <c r="E235" s="429"/>
      <c r="F235" s="429"/>
      <c r="G235" s="429"/>
      <c r="H235" s="429"/>
      <c r="I235" s="429"/>
    </row>
    <row r="236" spans="1:9" hidden="1">
      <c r="A236" s="339" t="s">
        <v>167</v>
      </c>
      <c r="B236" s="316" t="str">
        <f>+A106</f>
        <v>Green Chilli</v>
      </c>
      <c r="C236" s="333">
        <f t="shared" ref="C236:I236" si="132">+C414</f>
        <v>0</v>
      </c>
      <c r="D236" s="391">
        <f t="shared" si="132"/>
        <v>0</v>
      </c>
      <c r="E236" s="391">
        <f t="shared" si="132"/>
        <v>0</v>
      </c>
      <c r="F236" s="391">
        <f t="shared" si="132"/>
        <v>0</v>
      </c>
      <c r="G236" s="391">
        <f t="shared" si="132"/>
        <v>0</v>
      </c>
      <c r="H236" s="391">
        <f t="shared" si="132"/>
        <v>0</v>
      </c>
      <c r="I236" s="391">
        <f t="shared" si="132"/>
        <v>0</v>
      </c>
    </row>
    <row r="237" spans="1:9" hidden="1">
      <c r="A237" s="317"/>
      <c r="B237" s="333" t="s">
        <v>657</v>
      </c>
      <c r="C237" s="340">
        <f t="shared" ref="C237:I237" si="133">+C424</f>
        <v>0</v>
      </c>
      <c r="D237" s="430">
        <f t="shared" si="133"/>
        <v>0</v>
      </c>
      <c r="E237" s="430">
        <f t="shared" si="133"/>
        <v>0</v>
      </c>
      <c r="F237" s="430">
        <f t="shared" si="133"/>
        <v>0</v>
      </c>
      <c r="G237" s="430">
        <f t="shared" si="133"/>
        <v>0</v>
      </c>
      <c r="H237" s="430">
        <f t="shared" si="133"/>
        <v>0</v>
      </c>
      <c r="I237" s="430">
        <f t="shared" si="133"/>
        <v>0</v>
      </c>
    </row>
    <row r="238" spans="1:9" hidden="1">
      <c r="A238" s="317"/>
      <c r="B238" s="316" t="s">
        <v>658</v>
      </c>
      <c r="C238" s="341">
        <f t="shared" ref="C238:I238" si="134">C236*C237/100000</f>
        <v>0</v>
      </c>
      <c r="D238" s="431">
        <f t="shared" si="134"/>
        <v>0</v>
      </c>
      <c r="E238" s="431">
        <f t="shared" si="134"/>
        <v>0</v>
      </c>
      <c r="F238" s="431">
        <f t="shared" si="134"/>
        <v>0</v>
      </c>
      <c r="G238" s="431">
        <f t="shared" si="134"/>
        <v>0</v>
      </c>
      <c r="H238" s="431">
        <f t="shared" si="134"/>
        <v>0</v>
      </c>
      <c r="I238" s="431">
        <f t="shared" si="134"/>
        <v>0</v>
      </c>
    </row>
    <row r="239" spans="1:9" hidden="1">
      <c r="A239" s="317"/>
      <c r="B239" s="316"/>
      <c r="C239" s="341"/>
      <c r="D239" s="431"/>
      <c r="E239" s="431"/>
      <c r="F239" s="431"/>
      <c r="G239" s="431"/>
      <c r="H239" s="431"/>
      <c r="I239" s="431"/>
    </row>
    <row r="240" spans="1:9" hidden="1">
      <c r="A240" s="318" t="s">
        <v>168</v>
      </c>
      <c r="B240" s="316" t="str">
        <f>+A107</f>
        <v>Red Chilli</v>
      </c>
      <c r="C240" s="333">
        <f t="shared" ref="C240:I240" si="135">+C420</f>
        <v>0</v>
      </c>
      <c r="D240" s="391">
        <f t="shared" si="135"/>
        <v>0</v>
      </c>
      <c r="E240" s="391">
        <f t="shared" si="135"/>
        <v>0</v>
      </c>
      <c r="F240" s="391">
        <f t="shared" si="135"/>
        <v>0</v>
      </c>
      <c r="G240" s="391">
        <f t="shared" si="135"/>
        <v>0</v>
      </c>
      <c r="H240" s="391">
        <f t="shared" si="135"/>
        <v>0</v>
      </c>
      <c r="I240" s="391">
        <f t="shared" si="135"/>
        <v>0</v>
      </c>
    </row>
    <row r="241" spans="1:10" hidden="1">
      <c r="A241" s="317"/>
      <c r="B241" s="333" t="s">
        <v>657</v>
      </c>
      <c r="C241" s="340">
        <f t="shared" ref="C241:I241" si="136">+C425</f>
        <v>0</v>
      </c>
      <c r="D241" s="430">
        <f t="shared" si="136"/>
        <v>0</v>
      </c>
      <c r="E241" s="430">
        <f t="shared" si="136"/>
        <v>0</v>
      </c>
      <c r="F241" s="430">
        <f t="shared" si="136"/>
        <v>0</v>
      </c>
      <c r="G241" s="430">
        <f t="shared" si="136"/>
        <v>0</v>
      </c>
      <c r="H241" s="430">
        <f t="shared" si="136"/>
        <v>0</v>
      </c>
      <c r="I241" s="430">
        <f t="shared" si="136"/>
        <v>0</v>
      </c>
    </row>
    <row r="242" spans="1:10" hidden="1">
      <c r="A242" s="317"/>
      <c r="B242" s="316" t="s">
        <v>658</v>
      </c>
      <c r="C242" s="341">
        <f t="shared" ref="C242:I242" si="137">C240*C241/100000</f>
        <v>0</v>
      </c>
      <c r="D242" s="431">
        <f t="shared" si="137"/>
        <v>0</v>
      </c>
      <c r="E242" s="431">
        <f t="shared" si="137"/>
        <v>0</v>
      </c>
      <c r="F242" s="431">
        <f t="shared" si="137"/>
        <v>0</v>
      </c>
      <c r="G242" s="431">
        <f t="shared" si="137"/>
        <v>0</v>
      </c>
      <c r="H242" s="431">
        <f t="shared" si="137"/>
        <v>0</v>
      </c>
      <c r="I242" s="431">
        <f t="shared" si="137"/>
        <v>0</v>
      </c>
    </row>
    <row r="243" spans="1:10">
      <c r="A243" s="317"/>
      <c r="B243" s="316"/>
      <c r="C243" s="341"/>
      <c r="D243" s="431"/>
      <c r="E243" s="431"/>
      <c r="F243" s="431"/>
      <c r="G243" s="431"/>
      <c r="H243" s="431"/>
      <c r="I243" s="431"/>
    </row>
    <row r="244" spans="1:10">
      <c r="A244" s="317"/>
      <c r="B244" s="317"/>
      <c r="C244" s="317"/>
      <c r="D244" s="345"/>
      <c r="E244" s="345"/>
      <c r="F244" s="345"/>
      <c r="G244" s="345"/>
      <c r="H244" s="345"/>
      <c r="I244" s="345"/>
    </row>
    <row r="245" spans="1:10">
      <c r="A245" s="317"/>
      <c r="B245" s="318" t="s">
        <v>660</v>
      </c>
      <c r="C245" s="342">
        <f t="shared" ref="C245:I245" si="138">+C221+C216+C208+C199+C187</f>
        <v>189.35826666666665</v>
      </c>
      <c r="D245" s="342">
        <f t="shared" si="138"/>
        <v>226.57166000000007</v>
      </c>
      <c r="E245" s="342">
        <f t="shared" si="138"/>
        <v>258.24327200000005</v>
      </c>
      <c r="F245" s="342">
        <f t="shared" si="138"/>
        <v>295.23833480000002</v>
      </c>
      <c r="G245" s="342">
        <f t="shared" si="138"/>
        <v>331.54361757500004</v>
      </c>
      <c r="H245" s="342">
        <f t="shared" si="138"/>
        <v>371.29781123425005</v>
      </c>
      <c r="I245" s="342">
        <f t="shared" si="138"/>
        <v>411.60755369892507</v>
      </c>
    </row>
    <row r="247" spans="1:10" ht="20.25">
      <c r="A247" s="614" t="s">
        <v>668</v>
      </c>
      <c r="B247" s="346"/>
      <c r="C247" s="346"/>
      <c r="D247" s="432"/>
      <c r="E247" s="432"/>
      <c r="F247" s="432"/>
      <c r="G247" s="432"/>
      <c r="H247" s="432"/>
      <c r="I247" s="432"/>
    </row>
    <row r="248" spans="1:10">
      <c r="A248" s="123" t="s">
        <v>656</v>
      </c>
      <c r="B248" s="123" t="s">
        <v>0</v>
      </c>
      <c r="C248" s="123" t="s">
        <v>2</v>
      </c>
      <c r="D248" s="123" t="s">
        <v>3</v>
      </c>
      <c r="E248" s="123" t="s">
        <v>4</v>
      </c>
      <c r="F248" s="123" t="s">
        <v>5</v>
      </c>
      <c r="G248" s="123" t="s">
        <v>6</v>
      </c>
      <c r="H248" s="123" t="s">
        <v>163</v>
      </c>
      <c r="I248" s="123" t="s">
        <v>162</v>
      </c>
      <c r="J248" s="366">
        <v>3</v>
      </c>
    </row>
    <row r="249" spans="1:10">
      <c r="A249" s="344"/>
      <c r="B249" s="590" t="str">
        <f>+'Input Sheet'!B57</f>
        <v>Finished Goods  -Flax(MT)</v>
      </c>
      <c r="C249" s="327"/>
      <c r="D249" s="419"/>
      <c r="E249" s="419"/>
      <c r="F249" s="419"/>
      <c r="G249" s="419"/>
      <c r="H249" s="419"/>
      <c r="I249" s="419"/>
    </row>
    <row r="250" spans="1:10">
      <c r="A250" s="339" t="s">
        <v>167</v>
      </c>
      <c r="B250" s="316" t="str">
        <f>+B185</f>
        <v>Flax Oil</v>
      </c>
      <c r="C250" s="333"/>
      <c r="D250" s="391"/>
      <c r="E250" s="391"/>
      <c r="F250" s="391"/>
      <c r="G250" s="391"/>
      <c r="H250" s="345"/>
      <c r="I250" s="345"/>
    </row>
    <row r="251" spans="1:10">
      <c r="A251" s="344"/>
      <c r="B251" s="333" t="s">
        <v>661</v>
      </c>
      <c r="C251" s="333">
        <f>0</f>
        <v>0</v>
      </c>
      <c r="D251" s="391">
        <f>+C254</f>
        <v>0</v>
      </c>
      <c r="E251" s="391">
        <f t="shared" ref="E251:I251" si="139">+D254</f>
        <v>0</v>
      </c>
      <c r="F251" s="391">
        <f t="shared" si="139"/>
        <v>0</v>
      </c>
      <c r="G251" s="391">
        <f t="shared" si="139"/>
        <v>0</v>
      </c>
      <c r="H251" s="391">
        <f t="shared" si="139"/>
        <v>0</v>
      </c>
      <c r="I251" s="391">
        <f t="shared" si="139"/>
        <v>0</v>
      </c>
    </row>
    <row r="252" spans="1:10">
      <c r="A252" s="344"/>
      <c r="B252" s="333" t="s">
        <v>662</v>
      </c>
      <c r="C252" s="334">
        <f t="shared" ref="C252:I252" si="140">+B76</f>
        <v>7</v>
      </c>
      <c r="D252" s="391">
        <f t="shared" si="140"/>
        <v>7</v>
      </c>
      <c r="E252" s="391">
        <f t="shared" si="140"/>
        <v>8</v>
      </c>
      <c r="F252" s="391">
        <f t="shared" si="140"/>
        <v>9</v>
      </c>
      <c r="G252" s="391">
        <f t="shared" si="140"/>
        <v>9</v>
      </c>
      <c r="H252" s="391">
        <f t="shared" si="140"/>
        <v>10</v>
      </c>
      <c r="I252" s="391">
        <f t="shared" si="140"/>
        <v>10</v>
      </c>
    </row>
    <row r="253" spans="1:10">
      <c r="A253" s="344"/>
      <c r="B253" s="333" t="s">
        <v>663</v>
      </c>
      <c r="C253" s="333">
        <f t="shared" ref="C253:I253" si="141">C251+C252-C254</f>
        <v>7</v>
      </c>
      <c r="D253" s="391">
        <f t="shared" si="141"/>
        <v>7</v>
      </c>
      <c r="E253" s="391">
        <f t="shared" si="141"/>
        <v>8</v>
      </c>
      <c r="F253" s="391">
        <f t="shared" si="141"/>
        <v>9</v>
      </c>
      <c r="G253" s="391">
        <f t="shared" si="141"/>
        <v>9</v>
      </c>
      <c r="H253" s="391">
        <f t="shared" si="141"/>
        <v>10</v>
      </c>
      <c r="I253" s="391">
        <f t="shared" si="141"/>
        <v>10</v>
      </c>
    </row>
    <row r="254" spans="1:10">
      <c r="A254" s="344"/>
      <c r="B254" s="333" t="s">
        <v>333</v>
      </c>
      <c r="C254" s="391">
        <f>ROUND((C252+C251)/24,0)</f>
        <v>0</v>
      </c>
      <c r="D254" s="391">
        <f t="shared" ref="D254:I254" si="142">ROUND((D252+D251)/24,0)</f>
        <v>0</v>
      </c>
      <c r="E254" s="391">
        <f t="shared" si="142"/>
        <v>0</v>
      </c>
      <c r="F254" s="391">
        <f t="shared" si="142"/>
        <v>0</v>
      </c>
      <c r="G254" s="391">
        <f t="shared" si="142"/>
        <v>0</v>
      </c>
      <c r="H254" s="391">
        <f t="shared" si="142"/>
        <v>0</v>
      </c>
      <c r="I254" s="391">
        <f t="shared" si="142"/>
        <v>0</v>
      </c>
    </row>
    <row r="255" spans="1:10">
      <c r="A255" s="317"/>
      <c r="B255" s="317"/>
      <c r="C255" s="317"/>
      <c r="D255" s="345"/>
      <c r="E255" s="345"/>
      <c r="F255" s="345"/>
      <c r="G255" s="345"/>
      <c r="H255" s="345"/>
      <c r="I255" s="345"/>
    </row>
    <row r="256" spans="1:10" hidden="1">
      <c r="A256" s="339" t="s">
        <v>168</v>
      </c>
      <c r="B256" s="318" t="str">
        <f>+B188</f>
        <v>Oil Cake</v>
      </c>
      <c r="C256" s="318"/>
      <c r="D256" s="342"/>
      <c r="E256" s="342"/>
      <c r="F256" s="342"/>
      <c r="G256" s="342"/>
      <c r="H256" s="342"/>
      <c r="I256" s="342"/>
    </row>
    <row r="257" spans="1:9" hidden="1">
      <c r="A257" s="317"/>
      <c r="B257" s="333" t="s">
        <v>661</v>
      </c>
      <c r="C257" s="333">
        <f>0</f>
        <v>0</v>
      </c>
      <c r="D257" s="391">
        <f t="shared" ref="D257:I257" si="143">C260</f>
        <v>0</v>
      </c>
      <c r="E257" s="391">
        <f t="shared" si="143"/>
        <v>0</v>
      </c>
      <c r="F257" s="391">
        <f t="shared" si="143"/>
        <v>0</v>
      </c>
      <c r="G257" s="391">
        <f t="shared" si="143"/>
        <v>0</v>
      </c>
      <c r="H257" s="391">
        <f t="shared" si="143"/>
        <v>0</v>
      </c>
      <c r="I257" s="391">
        <f t="shared" si="143"/>
        <v>0</v>
      </c>
    </row>
    <row r="258" spans="1:9" hidden="1">
      <c r="A258" s="317"/>
      <c r="B258" s="333" t="s">
        <v>662</v>
      </c>
      <c r="C258" s="334">
        <f t="shared" ref="C258:I258" si="144">+B77+B62</f>
        <v>45.720000000000006</v>
      </c>
      <c r="D258" s="334">
        <f t="shared" si="144"/>
        <v>50.240000000000009</v>
      </c>
      <c r="E258" s="334">
        <f t="shared" si="144"/>
        <v>54.760000000000005</v>
      </c>
      <c r="F258" s="334">
        <f t="shared" si="144"/>
        <v>59.280000000000008</v>
      </c>
      <c r="G258" s="334">
        <f t="shared" si="144"/>
        <v>62.800000000000004</v>
      </c>
      <c r="H258" s="334">
        <f t="shared" si="144"/>
        <v>67.320000000000022</v>
      </c>
      <c r="I258" s="334">
        <f t="shared" si="144"/>
        <v>71.840000000000018</v>
      </c>
    </row>
    <row r="259" spans="1:9" hidden="1">
      <c r="A259" s="317"/>
      <c r="B259" s="333" t="s">
        <v>663</v>
      </c>
      <c r="C259" s="333">
        <f t="shared" ref="C259:I259" si="145">C257+C258-C260</f>
        <v>45.720000000000006</v>
      </c>
      <c r="D259" s="391">
        <f t="shared" si="145"/>
        <v>50.240000000000009</v>
      </c>
      <c r="E259" s="391">
        <f t="shared" si="145"/>
        <v>54.760000000000005</v>
      </c>
      <c r="F259" s="391">
        <f t="shared" si="145"/>
        <v>59.280000000000008</v>
      </c>
      <c r="G259" s="391">
        <f t="shared" si="145"/>
        <v>62.800000000000004</v>
      </c>
      <c r="H259" s="391">
        <f t="shared" si="145"/>
        <v>67.320000000000022</v>
      </c>
      <c r="I259" s="391">
        <f t="shared" si="145"/>
        <v>71.840000000000018</v>
      </c>
    </row>
    <row r="260" spans="1:9" hidden="1">
      <c r="A260" s="317"/>
      <c r="B260" s="333" t="s">
        <v>333</v>
      </c>
      <c r="C260" s="391">
        <v>0</v>
      </c>
      <c r="D260" s="391">
        <v>0</v>
      </c>
      <c r="E260" s="391">
        <v>0</v>
      </c>
      <c r="F260" s="391">
        <v>0</v>
      </c>
      <c r="G260" s="391">
        <v>0</v>
      </c>
      <c r="H260" s="391">
        <v>0</v>
      </c>
      <c r="I260" s="391">
        <v>0</v>
      </c>
    </row>
    <row r="261" spans="1:9" hidden="1">
      <c r="A261" s="317"/>
      <c r="B261" s="317"/>
      <c r="C261" s="317"/>
      <c r="D261" s="345"/>
      <c r="E261" s="345"/>
      <c r="F261" s="345"/>
      <c r="G261" s="345"/>
      <c r="H261" s="345"/>
      <c r="I261" s="345"/>
    </row>
    <row r="262" spans="1:9" hidden="1">
      <c r="A262" s="339" t="s">
        <v>169</v>
      </c>
      <c r="B262" s="343" t="str">
        <f>+B192</f>
        <v>Waste</v>
      </c>
      <c r="C262" s="318"/>
      <c r="D262" s="342"/>
      <c r="E262" s="342"/>
      <c r="F262" s="342"/>
      <c r="G262" s="342"/>
      <c r="H262" s="342"/>
      <c r="I262" s="342"/>
    </row>
    <row r="263" spans="1:9" hidden="1">
      <c r="A263" s="317"/>
      <c r="B263" s="333" t="s">
        <v>661</v>
      </c>
      <c r="C263" s="333">
        <f>0</f>
        <v>0</v>
      </c>
      <c r="D263" s="391">
        <f t="shared" ref="D263:I263" si="146">C266</f>
        <v>0</v>
      </c>
      <c r="E263" s="391">
        <f t="shared" si="146"/>
        <v>0</v>
      </c>
      <c r="F263" s="391">
        <f t="shared" si="146"/>
        <v>0</v>
      </c>
      <c r="G263" s="391">
        <f t="shared" si="146"/>
        <v>0</v>
      </c>
      <c r="H263" s="391">
        <f t="shared" si="146"/>
        <v>0</v>
      </c>
      <c r="I263" s="391">
        <f t="shared" si="146"/>
        <v>0</v>
      </c>
    </row>
    <row r="264" spans="1:9" hidden="1">
      <c r="A264" s="317"/>
      <c r="B264" s="333" t="s">
        <v>662</v>
      </c>
      <c r="C264" s="334">
        <f t="shared" ref="C264:I264" si="147">+B78</f>
        <v>1</v>
      </c>
      <c r="D264" s="391">
        <f t="shared" si="147"/>
        <v>1</v>
      </c>
      <c r="E264" s="391">
        <f t="shared" si="147"/>
        <v>2</v>
      </c>
      <c r="F264" s="391">
        <f t="shared" si="147"/>
        <v>2</v>
      </c>
      <c r="G264" s="391">
        <f t="shared" si="147"/>
        <v>2</v>
      </c>
      <c r="H264" s="391">
        <f t="shared" si="147"/>
        <v>2</v>
      </c>
      <c r="I264" s="391">
        <f t="shared" si="147"/>
        <v>2</v>
      </c>
    </row>
    <row r="265" spans="1:9" hidden="1">
      <c r="A265" s="317"/>
      <c r="B265" s="333" t="s">
        <v>663</v>
      </c>
      <c r="C265" s="333">
        <f t="shared" ref="C265:I265" si="148">C263+C264-C266</f>
        <v>1</v>
      </c>
      <c r="D265" s="391">
        <f t="shared" si="148"/>
        <v>1</v>
      </c>
      <c r="E265" s="391">
        <f t="shared" si="148"/>
        <v>2</v>
      </c>
      <c r="F265" s="391">
        <f t="shared" si="148"/>
        <v>2</v>
      </c>
      <c r="G265" s="391">
        <f t="shared" si="148"/>
        <v>2</v>
      </c>
      <c r="H265" s="391">
        <f t="shared" si="148"/>
        <v>2</v>
      </c>
      <c r="I265" s="391">
        <f t="shared" si="148"/>
        <v>2</v>
      </c>
    </row>
    <row r="266" spans="1:9" hidden="1">
      <c r="A266" s="317"/>
      <c r="B266" s="333" t="s">
        <v>333</v>
      </c>
      <c r="C266" s="333">
        <v>0</v>
      </c>
      <c r="D266" s="391">
        <v>0</v>
      </c>
      <c r="E266" s="391">
        <v>0</v>
      </c>
      <c r="F266" s="391">
        <v>0</v>
      </c>
      <c r="G266" s="391">
        <v>0</v>
      </c>
      <c r="H266" s="391">
        <v>0</v>
      </c>
      <c r="I266" s="391">
        <v>0</v>
      </c>
    </row>
    <row r="267" spans="1:9">
      <c r="A267" s="317"/>
      <c r="B267" s="317"/>
      <c r="C267" s="317"/>
      <c r="D267" s="345"/>
      <c r="E267" s="345"/>
      <c r="F267" s="345"/>
      <c r="G267" s="345"/>
      <c r="H267" s="345"/>
      <c r="I267" s="345"/>
    </row>
    <row r="268" spans="1:9">
      <c r="A268" s="317"/>
      <c r="B268" s="316" t="s">
        <v>664</v>
      </c>
      <c r="C268" s="333"/>
      <c r="D268" s="345"/>
      <c r="E268" s="345"/>
      <c r="F268" s="345"/>
      <c r="G268" s="345"/>
      <c r="H268" s="345"/>
      <c r="I268" s="345"/>
    </row>
    <row r="269" spans="1:9">
      <c r="A269" s="344" t="s">
        <v>167</v>
      </c>
      <c r="B269" s="329" t="str">
        <f>+B250</f>
        <v>Flax Oil</v>
      </c>
      <c r="C269" s="592">
        <f>+'Input Sheet'!C91</f>
        <v>139000</v>
      </c>
      <c r="D269" s="592">
        <f>+'Input Sheet'!D91</f>
        <v>145950</v>
      </c>
      <c r="E269" s="592">
        <f>+'Input Sheet'!E91</f>
        <v>153250</v>
      </c>
      <c r="F269" s="592">
        <f>+'Input Sheet'!F91</f>
        <v>160910</v>
      </c>
      <c r="G269" s="592">
        <f>+'Input Sheet'!G91</f>
        <v>168960</v>
      </c>
      <c r="H269" s="592">
        <f>+'Input Sheet'!H91</f>
        <v>177410</v>
      </c>
      <c r="I269" s="592">
        <f>+'Input Sheet'!I91</f>
        <v>186280</v>
      </c>
    </row>
    <row r="270" spans="1:9">
      <c r="A270" s="344" t="s">
        <v>168</v>
      </c>
      <c r="B270" s="329" t="str">
        <f>B256</f>
        <v>Oil Cake</v>
      </c>
      <c r="C270" s="592">
        <f>+'Input Sheet'!C92</f>
        <v>0</v>
      </c>
      <c r="D270" s="592">
        <f>+'Input Sheet'!D92</f>
        <v>0</v>
      </c>
      <c r="E270" s="592">
        <f>+'Input Sheet'!E92</f>
        <v>0</v>
      </c>
      <c r="F270" s="592">
        <f>+'Input Sheet'!F92</f>
        <v>0</v>
      </c>
      <c r="G270" s="592">
        <f>+'Input Sheet'!G92</f>
        <v>0</v>
      </c>
      <c r="H270" s="592">
        <f>+'Input Sheet'!H92</f>
        <v>0</v>
      </c>
      <c r="I270" s="592">
        <f>+'Input Sheet'!I92</f>
        <v>0</v>
      </c>
    </row>
    <row r="271" spans="1:9">
      <c r="A271" s="344" t="s">
        <v>169</v>
      </c>
      <c r="B271" s="329" t="str">
        <f>B262</f>
        <v>Waste</v>
      </c>
      <c r="C271" s="592">
        <f>+'Input Sheet'!C93</f>
        <v>0</v>
      </c>
      <c r="D271" s="592">
        <f>+'Input Sheet'!D93</f>
        <v>0</v>
      </c>
      <c r="E271" s="592">
        <f>+'Input Sheet'!E93</f>
        <v>0</v>
      </c>
      <c r="F271" s="592">
        <f>+'Input Sheet'!F93</f>
        <v>0</v>
      </c>
      <c r="G271" s="592">
        <f>+'Input Sheet'!G93</f>
        <v>0</v>
      </c>
      <c r="H271" s="592">
        <f>+'Input Sheet'!H93</f>
        <v>0</v>
      </c>
      <c r="I271" s="592">
        <f>+'Input Sheet'!I93</f>
        <v>0</v>
      </c>
    </row>
    <row r="272" spans="1:9">
      <c r="A272" s="317"/>
      <c r="B272" s="317"/>
      <c r="C272" s="317"/>
      <c r="D272" s="345"/>
      <c r="E272" s="345"/>
      <c r="F272" s="345"/>
      <c r="G272" s="345"/>
      <c r="H272" s="345"/>
      <c r="I272" s="345"/>
    </row>
    <row r="273" spans="1:9" hidden="1">
      <c r="A273" s="318" t="s">
        <v>167</v>
      </c>
      <c r="B273" s="318" t="str">
        <f>B269</f>
        <v>Flax Oil</v>
      </c>
      <c r="C273" s="317"/>
      <c r="D273" s="345"/>
      <c r="E273" s="345"/>
      <c r="F273" s="345"/>
      <c r="G273" s="345"/>
      <c r="H273" s="345"/>
      <c r="I273" s="345"/>
    </row>
    <row r="274" spans="1:9" hidden="1">
      <c r="A274" s="317"/>
      <c r="B274" s="333" t="s">
        <v>665</v>
      </c>
      <c r="C274" s="340">
        <v>0</v>
      </c>
      <c r="D274" s="430">
        <f t="shared" ref="D274:I274" si="149">C275</f>
        <v>0</v>
      </c>
      <c r="E274" s="430">
        <f t="shared" si="149"/>
        <v>0</v>
      </c>
      <c r="F274" s="430">
        <f t="shared" si="149"/>
        <v>0</v>
      </c>
      <c r="G274" s="430">
        <f t="shared" si="149"/>
        <v>0</v>
      </c>
      <c r="H274" s="430">
        <f t="shared" si="149"/>
        <v>0</v>
      </c>
      <c r="I274" s="430">
        <f t="shared" si="149"/>
        <v>0</v>
      </c>
    </row>
    <row r="275" spans="1:9" hidden="1">
      <c r="A275" s="317"/>
      <c r="B275" s="333" t="s">
        <v>666</v>
      </c>
      <c r="C275" s="340">
        <f t="shared" ref="C275:I275" si="150">C254*C269/100000</f>
        <v>0</v>
      </c>
      <c r="D275" s="430">
        <f t="shared" si="150"/>
        <v>0</v>
      </c>
      <c r="E275" s="430">
        <f t="shared" si="150"/>
        <v>0</v>
      </c>
      <c r="F275" s="430">
        <f t="shared" si="150"/>
        <v>0</v>
      </c>
      <c r="G275" s="430">
        <f t="shared" si="150"/>
        <v>0</v>
      </c>
      <c r="H275" s="430">
        <f t="shared" si="150"/>
        <v>0</v>
      </c>
      <c r="I275" s="430">
        <f t="shared" si="150"/>
        <v>0</v>
      </c>
    </row>
    <row r="276" spans="1:9" hidden="1">
      <c r="A276" s="317"/>
      <c r="B276" s="317"/>
      <c r="C276" s="317"/>
      <c r="D276" s="345"/>
      <c r="E276" s="345"/>
      <c r="F276" s="345"/>
      <c r="G276" s="345"/>
      <c r="H276" s="345"/>
      <c r="I276" s="345"/>
    </row>
    <row r="277" spans="1:9" hidden="1">
      <c r="A277" s="318" t="s">
        <v>168</v>
      </c>
      <c r="B277" s="318" t="str">
        <f>B256</f>
        <v>Oil Cake</v>
      </c>
      <c r="C277" s="317"/>
      <c r="D277" s="345"/>
      <c r="E277" s="345"/>
      <c r="F277" s="345"/>
      <c r="G277" s="345"/>
      <c r="H277" s="345"/>
      <c r="I277" s="345"/>
    </row>
    <row r="278" spans="1:9" hidden="1">
      <c r="A278" s="317"/>
      <c r="B278" s="333" t="s">
        <v>665</v>
      </c>
      <c r="C278" s="340">
        <v>0</v>
      </c>
      <c r="D278" s="430">
        <f t="shared" ref="D278:I278" si="151">C279</f>
        <v>0</v>
      </c>
      <c r="E278" s="430">
        <f t="shared" si="151"/>
        <v>0</v>
      </c>
      <c r="F278" s="430">
        <f t="shared" si="151"/>
        <v>0</v>
      </c>
      <c r="G278" s="430">
        <f t="shared" si="151"/>
        <v>0</v>
      </c>
      <c r="H278" s="430">
        <f t="shared" si="151"/>
        <v>0</v>
      </c>
      <c r="I278" s="430">
        <f t="shared" si="151"/>
        <v>0</v>
      </c>
    </row>
    <row r="279" spans="1:9" hidden="1">
      <c r="A279" s="317"/>
      <c r="B279" s="333" t="s">
        <v>666</v>
      </c>
      <c r="C279" s="340">
        <f t="shared" ref="C279:I279" si="152">C270*C260/100000</f>
        <v>0</v>
      </c>
      <c r="D279" s="430">
        <f t="shared" si="152"/>
        <v>0</v>
      </c>
      <c r="E279" s="430">
        <f t="shared" si="152"/>
        <v>0</v>
      </c>
      <c r="F279" s="430">
        <f t="shared" si="152"/>
        <v>0</v>
      </c>
      <c r="G279" s="430">
        <f t="shared" si="152"/>
        <v>0</v>
      </c>
      <c r="H279" s="430">
        <f t="shared" si="152"/>
        <v>0</v>
      </c>
      <c r="I279" s="430">
        <f t="shared" si="152"/>
        <v>0</v>
      </c>
    </row>
    <row r="280" spans="1:9" hidden="1">
      <c r="A280" s="317"/>
      <c r="B280" s="317"/>
      <c r="C280" s="317"/>
      <c r="D280" s="345"/>
      <c r="E280" s="345"/>
      <c r="F280" s="345"/>
      <c r="G280" s="345"/>
      <c r="H280" s="345"/>
      <c r="I280" s="345"/>
    </row>
    <row r="281" spans="1:9" hidden="1">
      <c r="A281" s="318" t="s">
        <v>169</v>
      </c>
      <c r="B281" s="318" t="str">
        <f>B262</f>
        <v>Waste</v>
      </c>
      <c r="C281" s="317"/>
      <c r="D281" s="345"/>
      <c r="E281" s="345"/>
      <c r="F281" s="345"/>
      <c r="G281" s="345"/>
      <c r="H281" s="345"/>
      <c r="I281" s="345"/>
    </row>
    <row r="282" spans="1:9" hidden="1">
      <c r="A282" s="317"/>
      <c r="B282" s="333" t="s">
        <v>665</v>
      </c>
      <c r="C282" s="340">
        <v>0</v>
      </c>
      <c r="D282" s="430">
        <f t="shared" ref="D282:I282" si="153">C283</f>
        <v>0</v>
      </c>
      <c r="E282" s="430">
        <f t="shared" si="153"/>
        <v>0</v>
      </c>
      <c r="F282" s="430">
        <f t="shared" si="153"/>
        <v>0</v>
      </c>
      <c r="G282" s="430">
        <f t="shared" si="153"/>
        <v>0</v>
      </c>
      <c r="H282" s="430">
        <f t="shared" si="153"/>
        <v>0</v>
      </c>
      <c r="I282" s="430">
        <f t="shared" si="153"/>
        <v>0</v>
      </c>
    </row>
    <row r="283" spans="1:9" hidden="1">
      <c r="A283" s="317"/>
      <c r="B283" s="333" t="s">
        <v>666</v>
      </c>
      <c r="C283" s="340">
        <f t="shared" ref="C283:I283" si="154">C271*C266/100000</f>
        <v>0</v>
      </c>
      <c r="D283" s="430">
        <f t="shared" si="154"/>
        <v>0</v>
      </c>
      <c r="E283" s="430">
        <f t="shared" si="154"/>
        <v>0</v>
      </c>
      <c r="F283" s="430">
        <f t="shared" si="154"/>
        <v>0</v>
      </c>
      <c r="G283" s="430">
        <f t="shared" si="154"/>
        <v>0</v>
      </c>
      <c r="H283" s="430">
        <f t="shared" si="154"/>
        <v>0</v>
      </c>
      <c r="I283" s="430">
        <f t="shared" si="154"/>
        <v>0</v>
      </c>
    </row>
    <row r="284" spans="1:9" hidden="1">
      <c r="A284" s="318" t="s">
        <v>167</v>
      </c>
      <c r="B284" s="318" t="str">
        <f>+B250</f>
        <v>Flax Oil</v>
      </c>
      <c r="C284" s="317"/>
      <c r="D284" s="345"/>
      <c r="E284" s="345"/>
      <c r="F284" s="345"/>
      <c r="G284" s="345"/>
      <c r="H284" s="345"/>
      <c r="I284" s="345"/>
    </row>
    <row r="285" spans="1:9" hidden="1">
      <c r="A285" s="317"/>
      <c r="B285" s="333" t="s">
        <v>665</v>
      </c>
      <c r="C285" s="340">
        <v>0</v>
      </c>
      <c r="D285" s="430">
        <f t="shared" ref="D285" si="155">C286</f>
        <v>0</v>
      </c>
      <c r="E285" s="430">
        <f t="shared" ref="E285" si="156">D286</f>
        <v>0</v>
      </c>
      <c r="F285" s="430">
        <f t="shared" ref="F285" si="157">E286</f>
        <v>0</v>
      </c>
      <c r="G285" s="430">
        <f t="shared" ref="G285" si="158">F286</f>
        <v>0</v>
      </c>
      <c r="H285" s="430">
        <f t="shared" ref="H285" si="159">G286</f>
        <v>0</v>
      </c>
      <c r="I285" s="430">
        <f t="shared" ref="I285" si="160">H286</f>
        <v>0</v>
      </c>
    </row>
    <row r="286" spans="1:9" hidden="1">
      <c r="A286" s="317"/>
      <c r="B286" s="333" t="s">
        <v>666</v>
      </c>
      <c r="C286" s="340">
        <f>+C254*C269/100000</f>
        <v>0</v>
      </c>
      <c r="D286" s="340">
        <f t="shared" ref="D286:I286" si="161">+D254*D269/100000</f>
        <v>0</v>
      </c>
      <c r="E286" s="340">
        <f t="shared" si="161"/>
        <v>0</v>
      </c>
      <c r="F286" s="340">
        <f t="shared" si="161"/>
        <v>0</v>
      </c>
      <c r="G286" s="340">
        <f t="shared" si="161"/>
        <v>0</v>
      </c>
      <c r="H286" s="340">
        <f t="shared" si="161"/>
        <v>0</v>
      </c>
      <c r="I286" s="340">
        <f t="shared" si="161"/>
        <v>0</v>
      </c>
    </row>
    <row r="287" spans="1:9">
      <c r="A287" s="317"/>
      <c r="B287" s="333"/>
      <c r="C287" s="340"/>
      <c r="D287" s="430"/>
      <c r="E287" s="430"/>
      <c r="F287" s="430"/>
      <c r="G287" s="430"/>
      <c r="H287" s="430"/>
      <c r="I287" s="430"/>
    </row>
    <row r="288" spans="1:9">
      <c r="A288" s="317"/>
      <c r="B288" s="317"/>
      <c r="C288" s="317"/>
      <c r="D288" s="345"/>
      <c r="E288" s="345"/>
      <c r="F288" s="345"/>
      <c r="G288" s="345"/>
      <c r="H288" s="345"/>
      <c r="I288" s="345"/>
    </row>
    <row r="289" spans="1:9">
      <c r="A289" s="344"/>
      <c r="B289" s="590" t="str">
        <f>+'Input Sheet'!B58</f>
        <v>Finished Goods safflower(MT)</v>
      </c>
      <c r="C289" s="327"/>
      <c r="D289" s="419"/>
      <c r="E289" s="419"/>
      <c r="F289" s="419"/>
      <c r="G289" s="419"/>
      <c r="H289" s="419"/>
      <c r="I289" s="419"/>
    </row>
    <row r="290" spans="1:9">
      <c r="A290" s="339" t="s">
        <v>167</v>
      </c>
      <c r="B290" s="316" t="str">
        <f>+B197</f>
        <v>safflower Oil</v>
      </c>
      <c r="C290" s="333"/>
      <c r="D290" s="391"/>
      <c r="E290" s="391"/>
      <c r="F290" s="391"/>
      <c r="G290" s="391"/>
      <c r="H290" s="345"/>
      <c r="I290" s="345"/>
    </row>
    <row r="291" spans="1:9">
      <c r="A291" s="344"/>
      <c r="B291" s="333" t="s">
        <v>661</v>
      </c>
      <c r="C291" s="333">
        <f>0</f>
        <v>0</v>
      </c>
      <c r="D291" s="391">
        <f t="shared" ref="D291:I291" si="162">C294</f>
        <v>0</v>
      </c>
      <c r="E291" s="391">
        <f t="shared" si="162"/>
        <v>0</v>
      </c>
      <c r="F291" s="391">
        <f t="shared" si="162"/>
        <v>0</v>
      </c>
      <c r="G291" s="391">
        <f t="shared" si="162"/>
        <v>0</v>
      </c>
      <c r="H291" s="391">
        <f t="shared" si="162"/>
        <v>0</v>
      </c>
      <c r="I291" s="391">
        <f t="shared" si="162"/>
        <v>0</v>
      </c>
    </row>
    <row r="292" spans="1:9">
      <c r="A292" s="344"/>
      <c r="B292" s="333" t="s">
        <v>662</v>
      </c>
      <c r="C292" s="334">
        <f t="shared" ref="C292:I292" si="163">+B81</f>
        <v>3</v>
      </c>
      <c r="D292" s="391">
        <f t="shared" si="163"/>
        <v>4</v>
      </c>
      <c r="E292" s="391">
        <f t="shared" si="163"/>
        <v>4</v>
      </c>
      <c r="F292" s="391">
        <f t="shared" si="163"/>
        <v>4</v>
      </c>
      <c r="G292" s="391">
        <f t="shared" si="163"/>
        <v>5</v>
      </c>
      <c r="H292" s="391">
        <f t="shared" si="163"/>
        <v>5</v>
      </c>
      <c r="I292" s="391">
        <f t="shared" si="163"/>
        <v>5</v>
      </c>
    </row>
    <row r="293" spans="1:9">
      <c r="A293" s="344"/>
      <c r="B293" s="333" t="s">
        <v>663</v>
      </c>
      <c r="C293" s="333">
        <f t="shared" ref="C293:I293" si="164">C291+C292-C294</f>
        <v>3</v>
      </c>
      <c r="D293" s="391">
        <f t="shared" si="164"/>
        <v>4</v>
      </c>
      <c r="E293" s="391">
        <f t="shared" si="164"/>
        <v>4</v>
      </c>
      <c r="F293" s="391">
        <f t="shared" si="164"/>
        <v>4</v>
      </c>
      <c r="G293" s="391">
        <f t="shared" si="164"/>
        <v>5</v>
      </c>
      <c r="H293" s="391">
        <f t="shared" si="164"/>
        <v>5</v>
      </c>
      <c r="I293" s="391">
        <f t="shared" si="164"/>
        <v>5</v>
      </c>
    </row>
    <row r="294" spans="1:9">
      <c r="A294" s="344"/>
      <c r="B294" s="333" t="s">
        <v>333</v>
      </c>
      <c r="C294" s="391">
        <f>ROUND((C292+C291)/12,0)</f>
        <v>0</v>
      </c>
      <c r="D294" s="391">
        <f t="shared" ref="D294:I294" si="165">ROUND((D292+D291)/12,0)</f>
        <v>0</v>
      </c>
      <c r="E294" s="391">
        <f t="shared" si="165"/>
        <v>0</v>
      </c>
      <c r="F294" s="391">
        <f t="shared" si="165"/>
        <v>0</v>
      </c>
      <c r="G294" s="391">
        <f t="shared" si="165"/>
        <v>0</v>
      </c>
      <c r="H294" s="391">
        <f t="shared" si="165"/>
        <v>0</v>
      </c>
      <c r="I294" s="391">
        <f t="shared" si="165"/>
        <v>0</v>
      </c>
    </row>
    <row r="295" spans="1:9" hidden="1">
      <c r="A295" s="317"/>
      <c r="B295" s="317"/>
      <c r="C295" s="317"/>
      <c r="D295" s="345"/>
      <c r="E295" s="345"/>
      <c r="F295" s="345"/>
      <c r="G295" s="345"/>
      <c r="H295" s="345"/>
      <c r="I295" s="345"/>
    </row>
    <row r="296" spans="1:9" hidden="1">
      <c r="A296" s="339" t="s">
        <v>168</v>
      </c>
      <c r="B296" s="318" t="str">
        <f>+B201</f>
        <v>Oil Cake</v>
      </c>
      <c r="C296" s="318"/>
      <c r="D296" s="342"/>
      <c r="E296" s="342"/>
      <c r="F296" s="342"/>
      <c r="G296" s="342"/>
      <c r="H296" s="342"/>
      <c r="I296" s="342"/>
    </row>
    <row r="297" spans="1:9" hidden="1">
      <c r="A297" s="317"/>
      <c r="B297" s="333" t="s">
        <v>661</v>
      </c>
      <c r="C297" s="333">
        <f>0</f>
        <v>0</v>
      </c>
      <c r="D297" s="391">
        <f t="shared" ref="D297:I297" si="166">C300</f>
        <v>0</v>
      </c>
      <c r="E297" s="391">
        <f t="shared" si="166"/>
        <v>0</v>
      </c>
      <c r="F297" s="391">
        <f t="shared" si="166"/>
        <v>0</v>
      </c>
      <c r="G297" s="391">
        <f t="shared" si="166"/>
        <v>0</v>
      </c>
      <c r="H297" s="391">
        <f t="shared" si="166"/>
        <v>0</v>
      </c>
      <c r="I297" s="391">
        <f t="shared" si="166"/>
        <v>0</v>
      </c>
    </row>
    <row r="298" spans="1:9" hidden="1">
      <c r="A298" s="317"/>
      <c r="B298" s="333" t="s">
        <v>662</v>
      </c>
      <c r="C298" s="334">
        <f t="shared" ref="C298:I298" si="167">+B82+B63</f>
        <v>22.860000000000003</v>
      </c>
      <c r="D298" s="334">
        <f t="shared" si="167"/>
        <v>25.120000000000005</v>
      </c>
      <c r="E298" s="334">
        <f t="shared" si="167"/>
        <v>27.380000000000003</v>
      </c>
      <c r="F298" s="334">
        <f t="shared" si="167"/>
        <v>29.640000000000004</v>
      </c>
      <c r="G298" s="334">
        <f t="shared" si="167"/>
        <v>31.900000000000002</v>
      </c>
      <c r="H298" s="334">
        <f t="shared" si="167"/>
        <v>33.160000000000011</v>
      </c>
      <c r="I298" s="334">
        <f t="shared" si="167"/>
        <v>35.420000000000009</v>
      </c>
    </row>
    <row r="299" spans="1:9" hidden="1">
      <c r="A299" s="317"/>
      <c r="B299" s="333" t="s">
        <v>663</v>
      </c>
      <c r="C299" s="333">
        <f t="shared" ref="C299:I299" si="168">C297+C298-C300</f>
        <v>22.860000000000003</v>
      </c>
      <c r="D299" s="391">
        <f t="shared" si="168"/>
        <v>25.120000000000005</v>
      </c>
      <c r="E299" s="391">
        <f t="shared" si="168"/>
        <v>27.380000000000003</v>
      </c>
      <c r="F299" s="391">
        <f t="shared" si="168"/>
        <v>29.640000000000004</v>
      </c>
      <c r="G299" s="391">
        <f t="shared" si="168"/>
        <v>31.900000000000002</v>
      </c>
      <c r="H299" s="391">
        <f t="shared" si="168"/>
        <v>33.160000000000011</v>
      </c>
      <c r="I299" s="391">
        <f t="shared" si="168"/>
        <v>35.420000000000009</v>
      </c>
    </row>
    <row r="300" spans="1:9" hidden="1">
      <c r="A300" s="317"/>
      <c r="B300" s="333" t="s">
        <v>333</v>
      </c>
      <c r="C300" s="582">
        <v>0</v>
      </c>
      <c r="D300" s="582">
        <v>0</v>
      </c>
      <c r="E300" s="582">
        <v>0</v>
      </c>
      <c r="F300" s="582">
        <v>0</v>
      </c>
      <c r="G300" s="582">
        <v>0</v>
      </c>
      <c r="H300" s="582">
        <v>0</v>
      </c>
      <c r="I300" s="582">
        <v>0</v>
      </c>
    </row>
    <row r="301" spans="1:9" hidden="1">
      <c r="A301" s="317"/>
      <c r="B301" s="317"/>
      <c r="C301" s="317"/>
      <c r="D301" s="345"/>
      <c r="E301" s="345"/>
      <c r="F301" s="345"/>
      <c r="G301" s="345"/>
      <c r="H301" s="345"/>
      <c r="I301" s="345"/>
    </row>
    <row r="302" spans="1:9">
      <c r="A302" s="317"/>
      <c r="B302" s="317"/>
      <c r="C302" s="317"/>
      <c r="D302" s="345"/>
      <c r="E302" s="345"/>
      <c r="F302" s="345"/>
      <c r="G302" s="345"/>
      <c r="H302" s="345"/>
      <c r="I302" s="345"/>
    </row>
    <row r="303" spans="1:9">
      <c r="A303" s="317"/>
      <c r="B303" s="316" t="s">
        <v>664</v>
      </c>
      <c r="C303" s="333"/>
      <c r="D303" s="345"/>
      <c r="E303" s="345"/>
      <c r="F303" s="345"/>
      <c r="G303" s="345"/>
      <c r="H303" s="345"/>
      <c r="I303" s="345"/>
    </row>
    <row r="304" spans="1:9">
      <c r="A304" s="344" t="s">
        <v>167</v>
      </c>
      <c r="B304" s="329" t="str">
        <f>+B290</f>
        <v>safflower Oil</v>
      </c>
      <c r="C304" s="592">
        <f>+'Input Sheet'!C98</f>
        <v>144000</v>
      </c>
      <c r="D304" s="592">
        <f>+'Input Sheet'!D98</f>
        <v>151200</v>
      </c>
      <c r="E304" s="592">
        <f>+'Input Sheet'!E98</f>
        <v>158760</v>
      </c>
      <c r="F304" s="592">
        <f>+'Input Sheet'!F98</f>
        <v>166700</v>
      </c>
      <c r="G304" s="592">
        <f>+'Input Sheet'!G98</f>
        <v>175040</v>
      </c>
      <c r="H304" s="592">
        <f>+'Input Sheet'!H98</f>
        <v>183790</v>
      </c>
      <c r="I304" s="592">
        <f>+'Input Sheet'!I98</f>
        <v>192980</v>
      </c>
    </row>
    <row r="305" spans="1:9">
      <c r="A305" s="344" t="s">
        <v>168</v>
      </c>
      <c r="B305" s="329" t="str">
        <f>B296</f>
        <v>Oil Cake</v>
      </c>
      <c r="C305" s="522">
        <f>++'Input Sheet'!C99</f>
        <v>0</v>
      </c>
      <c r="D305" s="523">
        <f t="shared" ref="D305:I305" si="169">ROUND(C305*1.05,-1)</f>
        <v>0</v>
      </c>
      <c r="E305" s="523">
        <f t="shared" si="169"/>
        <v>0</v>
      </c>
      <c r="F305" s="523">
        <f t="shared" si="169"/>
        <v>0</v>
      </c>
      <c r="G305" s="523">
        <f t="shared" si="169"/>
        <v>0</v>
      </c>
      <c r="H305" s="523">
        <f t="shared" si="169"/>
        <v>0</v>
      </c>
      <c r="I305" s="523">
        <f t="shared" si="169"/>
        <v>0</v>
      </c>
    </row>
    <row r="306" spans="1:9" ht="30" customHeight="1">
      <c r="A306" s="317"/>
      <c r="B306" s="317"/>
      <c r="C306" s="317"/>
      <c r="D306" s="345"/>
      <c r="E306" s="345"/>
      <c r="F306" s="345"/>
      <c r="G306" s="345"/>
      <c r="H306" s="345"/>
      <c r="I306" s="345"/>
    </row>
    <row r="307" spans="1:9" hidden="1">
      <c r="A307" s="318" t="s">
        <v>167</v>
      </c>
      <c r="B307" s="318" t="str">
        <f>B304</f>
        <v>safflower Oil</v>
      </c>
      <c r="C307" s="317"/>
      <c r="D307" s="345"/>
      <c r="E307" s="345"/>
      <c r="F307" s="345"/>
      <c r="G307" s="345"/>
      <c r="H307" s="345"/>
      <c r="I307" s="345"/>
    </row>
    <row r="308" spans="1:9" hidden="1">
      <c r="A308" s="317"/>
      <c r="B308" s="333" t="s">
        <v>665</v>
      </c>
      <c r="C308" s="340">
        <v>0</v>
      </c>
      <c r="D308" s="430">
        <f t="shared" ref="D308:I308" si="170">C309</f>
        <v>0</v>
      </c>
      <c r="E308" s="430">
        <f t="shared" si="170"/>
        <v>0</v>
      </c>
      <c r="F308" s="430">
        <f t="shared" si="170"/>
        <v>0</v>
      </c>
      <c r="G308" s="430">
        <f t="shared" si="170"/>
        <v>0</v>
      </c>
      <c r="H308" s="430">
        <f t="shared" si="170"/>
        <v>0</v>
      </c>
      <c r="I308" s="430">
        <f t="shared" si="170"/>
        <v>0</v>
      </c>
    </row>
    <row r="309" spans="1:9" hidden="1">
      <c r="A309" s="317"/>
      <c r="B309" s="333" t="s">
        <v>666</v>
      </c>
      <c r="C309" s="340">
        <f t="shared" ref="C309:I309" si="171">C294*C304/100000</f>
        <v>0</v>
      </c>
      <c r="D309" s="430">
        <f t="shared" si="171"/>
        <v>0</v>
      </c>
      <c r="E309" s="430">
        <f t="shared" si="171"/>
        <v>0</v>
      </c>
      <c r="F309" s="430">
        <f t="shared" si="171"/>
        <v>0</v>
      </c>
      <c r="G309" s="430">
        <f t="shared" si="171"/>
        <v>0</v>
      </c>
      <c r="H309" s="430">
        <f t="shared" si="171"/>
        <v>0</v>
      </c>
      <c r="I309" s="430">
        <f t="shared" si="171"/>
        <v>0</v>
      </c>
    </row>
    <row r="310" spans="1:9" hidden="1">
      <c r="A310" s="317"/>
      <c r="B310" s="317"/>
      <c r="C310" s="317"/>
      <c r="D310" s="345"/>
      <c r="E310" s="345"/>
      <c r="F310" s="345"/>
      <c r="G310" s="345"/>
      <c r="H310" s="345"/>
      <c r="I310" s="345"/>
    </row>
    <row r="311" spans="1:9" hidden="1">
      <c r="A311" s="318" t="s">
        <v>168</v>
      </c>
      <c r="B311" s="318" t="str">
        <f>B296</f>
        <v>Oil Cake</v>
      </c>
      <c r="C311" s="317"/>
      <c r="D311" s="345"/>
      <c r="E311" s="345"/>
      <c r="F311" s="345"/>
      <c r="G311" s="345"/>
      <c r="H311" s="345"/>
      <c r="I311" s="345"/>
    </row>
    <row r="312" spans="1:9" hidden="1">
      <c r="A312" s="317"/>
      <c r="B312" s="333" t="s">
        <v>665</v>
      </c>
      <c r="C312" s="340">
        <v>0</v>
      </c>
      <c r="D312" s="430">
        <f t="shared" ref="D312:I312" si="172">C313</f>
        <v>0</v>
      </c>
      <c r="E312" s="430">
        <f t="shared" si="172"/>
        <v>0</v>
      </c>
      <c r="F312" s="430">
        <f t="shared" si="172"/>
        <v>0</v>
      </c>
      <c r="G312" s="430">
        <f t="shared" si="172"/>
        <v>0</v>
      </c>
      <c r="H312" s="430">
        <f t="shared" si="172"/>
        <v>0</v>
      </c>
      <c r="I312" s="430">
        <f t="shared" si="172"/>
        <v>0</v>
      </c>
    </row>
    <row r="313" spans="1:9" hidden="1">
      <c r="A313" s="317"/>
      <c r="B313" s="333" t="s">
        <v>666</v>
      </c>
      <c r="C313" s="340">
        <f t="shared" ref="C313:I313" si="173">C305*C300/100000</f>
        <v>0</v>
      </c>
      <c r="D313" s="430">
        <f t="shared" si="173"/>
        <v>0</v>
      </c>
      <c r="E313" s="430">
        <f t="shared" si="173"/>
        <v>0</v>
      </c>
      <c r="F313" s="430">
        <f t="shared" si="173"/>
        <v>0</v>
      </c>
      <c r="G313" s="430">
        <f t="shared" si="173"/>
        <v>0</v>
      </c>
      <c r="H313" s="430">
        <f t="shared" si="173"/>
        <v>0</v>
      </c>
      <c r="I313" s="430">
        <f t="shared" si="173"/>
        <v>0</v>
      </c>
    </row>
    <row r="314" spans="1:9">
      <c r="A314" s="317"/>
      <c r="B314" s="317"/>
      <c r="C314" s="317"/>
      <c r="D314" s="345"/>
      <c r="E314" s="345"/>
      <c r="F314" s="345"/>
      <c r="G314" s="345"/>
      <c r="H314" s="345"/>
      <c r="I314" s="345"/>
    </row>
    <row r="315" spans="1:9">
      <c r="A315" s="344"/>
      <c r="B315" s="316" t="str">
        <f>+'Input Sheet'!B59</f>
        <v>Finished Goods  -Mustered(MT)</v>
      </c>
      <c r="C315" s="327"/>
      <c r="D315" s="419"/>
      <c r="E315" s="419"/>
      <c r="F315" s="419"/>
      <c r="G315" s="419"/>
      <c r="H315" s="419"/>
      <c r="I315" s="419"/>
    </row>
    <row r="316" spans="1:9">
      <c r="A316" s="339" t="s">
        <v>167</v>
      </c>
      <c r="B316" s="316" t="str">
        <f>+B206</f>
        <v>Mustered Oil</v>
      </c>
      <c r="C316" s="333"/>
      <c r="D316" s="391"/>
      <c r="E316" s="391"/>
      <c r="F316" s="391"/>
      <c r="G316" s="391"/>
      <c r="H316" s="345"/>
      <c r="I316" s="345"/>
    </row>
    <row r="317" spans="1:9">
      <c r="A317" s="344"/>
      <c r="B317" s="333" t="s">
        <v>661</v>
      </c>
      <c r="C317" s="333">
        <f>0</f>
        <v>0</v>
      </c>
      <c r="D317" s="391">
        <f t="shared" ref="D317:I317" si="174">C320</f>
        <v>1</v>
      </c>
      <c r="E317" s="391">
        <f t="shared" si="174"/>
        <v>1</v>
      </c>
      <c r="F317" s="391">
        <f t="shared" si="174"/>
        <v>1</v>
      </c>
      <c r="G317" s="391">
        <f t="shared" si="174"/>
        <v>1</v>
      </c>
      <c r="H317" s="391">
        <f t="shared" si="174"/>
        <v>1</v>
      </c>
      <c r="I317" s="391">
        <f t="shared" si="174"/>
        <v>1</v>
      </c>
    </row>
    <row r="318" spans="1:9">
      <c r="A318" s="344"/>
      <c r="B318" s="333" t="s">
        <v>662</v>
      </c>
      <c r="C318" s="334">
        <f t="shared" ref="C318:I318" si="175">+B86</f>
        <v>23</v>
      </c>
      <c r="D318" s="391">
        <f t="shared" si="175"/>
        <v>25</v>
      </c>
      <c r="E318" s="391">
        <f t="shared" si="175"/>
        <v>27</v>
      </c>
      <c r="F318" s="391">
        <f t="shared" si="175"/>
        <v>30</v>
      </c>
      <c r="G318" s="391">
        <f t="shared" si="175"/>
        <v>32</v>
      </c>
      <c r="H318" s="391">
        <f t="shared" si="175"/>
        <v>34</v>
      </c>
      <c r="I318" s="391">
        <f t="shared" si="175"/>
        <v>36</v>
      </c>
    </row>
    <row r="319" spans="1:9">
      <c r="A319" s="344"/>
      <c r="B319" s="333" t="s">
        <v>663</v>
      </c>
      <c r="C319" s="333">
        <f t="shared" ref="C319:I319" si="176">C317+C318-C320</f>
        <v>22</v>
      </c>
      <c r="D319" s="391">
        <f t="shared" si="176"/>
        <v>25</v>
      </c>
      <c r="E319" s="391">
        <f t="shared" si="176"/>
        <v>27</v>
      </c>
      <c r="F319" s="391">
        <f t="shared" si="176"/>
        <v>30</v>
      </c>
      <c r="G319" s="391">
        <f t="shared" si="176"/>
        <v>32</v>
      </c>
      <c r="H319" s="391">
        <f t="shared" si="176"/>
        <v>34</v>
      </c>
      <c r="I319" s="391">
        <f t="shared" si="176"/>
        <v>35</v>
      </c>
    </row>
    <row r="320" spans="1:9">
      <c r="A320" s="344"/>
      <c r="B320" s="333" t="s">
        <v>333</v>
      </c>
      <c r="C320" s="333">
        <f t="shared" ref="C320:I320" si="177">ROUND((C318+C317)/24,0)</f>
        <v>1</v>
      </c>
      <c r="D320" s="391">
        <f t="shared" si="177"/>
        <v>1</v>
      </c>
      <c r="E320" s="391">
        <f t="shared" si="177"/>
        <v>1</v>
      </c>
      <c r="F320" s="391">
        <f t="shared" si="177"/>
        <v>1</v>
      </c>
      <c r="G320" s="391">
        <f t="shared" si="177"/>
        <v>1</v>
      </c>
      <c r="H320" s="391">
        <f t="shared" si="177"/>
        <v>1</v>
      </c>
      <c r="I320" s="391">
        <f t="shared" si="177"/>
        <v>2</v>
      </c>
    </row>
    <row r="321" spans="1:9">
      <c r="A321" s="317"/>
      <c r="B321" s="317"/>
      <c r="C321" s="317"/>
      <c r="D321" s="345"/>
      <c r="E321" s="345"/>
      <c r="F321" s="345"/>
      <c r="G321" s="345"/>
      <c r="H321" s="345"/>
      <c r="I321" s="345"/>
    </row>
    <row r="322" spans="1:9">
      <c r="A322" s="317"/>
      <c r="B322" s="317" t="str">
        <f>+'Input Sheet'!B106</f>
        <v>Oil Cake</v>
      </c>
      <c r="C322" s="317"/>
      <c r="D322" s="345"/>
      <c r="E322" s="345"/>
      <c r="F322" s="345"/>
      <c r="G322" s="345"/>
      <c r="H322" s="345"/>
      <c r="I322" s="345"/>
    </row>
    <row r="323" spans="1:9">
      <c r="A323" s="317"/>
      <c r="B323" s="333" t="s">
        <v>661</v>
      </c>
      <c r="C323" s="333">
        <f>0</f>
        <v>0</v>
      </c>
      <c r="D323" s="391">
        <f t="shared" ref="D323" si="178">C326</f>
        <v>0</v>
      </c>
      <c r="E323" s="391">
        <f t="shared" ref="E323" si="179">D326</f>
        <v>0</v>
      </c>
      <c r="F323" s="391">
        <f t="shared" ref="F323" si="180">E326</f>
        <v>0</v>
      </c>
      <c r="G323" s="391">
        <f t="shared" ref="G323" si="181">F326</f>
        <v>0</v>
      </c>
      <c r="H323" s="391">
        <f t="shared" ref="H323" si="182">G326</f>
        <v>0</v>
      </c>
      <c r="I323" s="391">
        <f t="shared" ref="I323" si="183">H326</f>
        <v>0</v>
      </c>
    </row>
    <row r="324" spans="1:9">
      <c r="A324" s="317"/>
      <c r="B324" s="333" t="s">
        <v>662</v>
      </c>
      <c r="C324" s="630">
        <f t="shared" ref="C324:I324" si="184">+B87+B64</f>
        <v>77.86</v>
      </c>
      <c r="D324" s="630">
        <f t="shared" si="184"/>
        <v>86.12</v>
      </c>
      <c r="E324" s="630">
        <f t="shared" si="184"/>
        <v>92.38</v>
      </c>
      <c r="F324" s="630">
        <f t="shared" si="184"/>
        <v>100.64</v>
      </c>
      <c r="G324" s="630">
        <f t="shared" si="184"/>
        <v>106.9</v>
      </c>
      <c r="H324" s="630">
        <f t="shared" si="184"/>
        <v>114.16000000000001</v>
      </c>
      <c r="I324" s="630">
        <f t="shared" si="184"/>
        <v>121.42000000000002</v>
      </c>
    </row>
    <row r="325" spans="1:9">
      <c r="A325" s="317"/>
      <c r="B325" s="333" t="s">
        <v>663</v>
      </c>
      <c r="C325" s="333">
        <f t="shared" ref="C325:I325" si="185">C323+C324-C326</f>
        <v>77.86</v>
      </c>
      <c r="D325" s="391">
        <f t="shared" si="185"/>
        <v>86.12</v>
      </c>
      <c r="E325" s="391">
        <f t="shared" si="185"/>
        <v>92.38</v>
      </c>
      <c r="F325" s="391">
        <f t="shared" si="185"/>
        <v>100.64</v>
      </c>
      <c r="G325" s="391">
        <f t="shared" si="185"/>
        <v>106.9</v>
      </c>
      <c r="H325" s="391">
        <f t="shared" si="185"/>
        <v>114.16000000000001</v>
      </c>
      <c r="I325" s="391">
        <f t="shared" si="185"/>
        <v>121.42000000000002</v>
      </c>
    </row>
    <row r="326" spans="1:9">
      <c r="A326" s="317"/>
      <c r="B326" s="333" t="s">
        <v>333</v>
      </c>
      <c r="C326" s="333">
        <v>0</v>
      </c>
      <c r="D326" s="333">
        <v>0</v>
      </c>
      <c r="E326" s="333">
        <v>0</v>
      </c>
      <c r="F326" s="333">
        <v>0</v>
      </c>
      <c r="G326" s="333">
        <v>0</v>
      </c>
      <c r="H326" s="333">
        <v>0</v>
      </c>
      <c r="I326" s="333">
        <v>0</v>
      </c>
    </row>
    <row r="327" spans="1:9">
      <c r="A327" s="317"/>
      <c r="B327" s="317"/>
      <c r="C327" s="317"/>
      <c r="D327" s="345"/>
      <c r="E327" s="345"/>
      <c r="F327" s="345"/>
      <c r="G327" s="345"/>
      <c r="H327" s="345"/>
      <c r="I327" s="345"/>
    </row>
    <row r="328" spans="1:9">
      <c r="A328" s="317"/>
      <c r="B328" s="317"/>
      <c r="C328" s="317"/>
      <c r="D328" s="345"/>
      <c r="E328" s="345"/>
      <c r="F328" s="345"/>
      <c r="G328" s="345"/>
      <c r="H328" s="345"/>
      <c r="I328" s="345"/>
    </row>
    <row r="329" spans="1:9">
      <c r="A329" s="317"/>
      <c r="B329" s="316" t="s">
        <v>664</v>
      </c>
      <c r="C329" s="333"/>
      <c r="D329" s="345"/>
      <c r="E329" s="345"/>
      <c r="F329" s="345"/>
      <c r="G329" s="345"/>
      <c r="H329" s="345"/>
      <c r="I329" s="345"/>
    </row>
    <row r="330" spans="1:9">
      <c r="A330" s="344" t="s">
        <v>167</v>
      </c>
      <c r="B330" s="329" t="str">
        <f>+B316</f>
        <v>Mustered Oil</v>
      </c>
      <c r="C330" s="522">
        <f>+'Input Sheet'!C105</f>
        <v>135000</v>
      </c>
      <c r="D330" s="522">
        <f>+'Input Sheet'!D105</f>
        <v>141750</v>
      </c>
      <c r="E330" s="522">
        <f>+'Input Sheet'!E105</f>
        <v>148840</v>
      </c>
      <c r="F330" s="522">
        <f>+'Input Sheet'!F105</f>
        <v>156280</v>
      </c>
      <c r="G330" s="522">
        <f>+'Input Sheet'!G105</f>
        <v>164090</v>
      </c>
      <c r="H330" s="522">
        <f>+'Input Sheet'!H105</f>
        <v>172290</v>
      </c>
      <c r="I330" s="522">
        <f>+'Input Sheet'!I105</f>
        <v>180900</v>
      </c>
    </row>
    <row r="331" spans="1:9">
      <c r="A331" s="317"/>
      <c r="B331" s="317" t="str">
        <f>+'Input Sheet'!B106</f>
        <v>Oil Cake</v>
      </c>
      <c r="C331" s="317">
        <f>+'Input Sheet'!C106</f>
        <v>0</v>
      </c>
      <c r="D331" s="317">
        <f>+'Input Sheet'!D106</f>
        <v>0</v>
      </c>
      <c r="E331" s="317">
        <f>+'Input Sheet'!E106</f>
        <v>0</v>
      </c>
      <c r="F331" s="317">
        <f>+'Input Sheet'!F106</f>
        <v>0</v>
      </c>
      <c r="G331" s="317">
        <f>+'Input Sheet'!G106</f>
        <v>0</v>
      </c>
      <c r="H331" s="317">
        <f>+'Input Sheet'!H106</f>
        <v>0</v>
      </c>
      <c r="I331" s="317">
        <f>+'Input Sheet'!I106</f>
        <v>0</v>
      </c>
    </row>
    <row r="332" spans="1:9">
      <c r="A332" s="318" t="s">
        <v>167</v>
      </c>
      <c r="B332" s="318" t="str">
        <f>B330</f>
        <v>Mustered Oil</v>
      </c>
      <c r="C332" s="317"/>
      <c r="D332" s="345"/>
      <c r="E332" s="345"/>
      <c r="F332" s="345"/>
      <c r="G332" s="345"/>
      <c r="H332" s="345"/>
      <c r="I332" s="345"/>
    </row>
    <row r="333" spans="1:9">
      <c r="A333" s="317"/>
      <c r="B333" s="333" t="s">
        <v>665</v>
      </c>
      <c r="C333" s="340">
        <v>0</v>
      </c>
      <c r="D333" s="430">
        <f t="shared" ref="D333:I333" si="186">C334</f>
        <v>1.35</v>
      </c>
      <c r="E333" s="430">
        <f t="shared" si="186"/>
        <v>1.4175</v>
      </c>
      <c r="F333" s="430">
        <f t="shared" si="186"/>
        <v>1.4883999999999999</v>
      </c>
      <c r="G333" s="430">
        <f t="shared" si="186"/>
        <v>1.5628</v>
      </c>
      <c r="H333" s="430">
        <f t="shared" si="186"/>
        <v>1.6409</v>
      </c>
      <c r="I333" s="430">
        <f t="shared" si="186"/>
        <v>1.7229000000000001</v>
      </c>
    </row>
    <row r="334" spans="1:9">
      <c r="A334" s="317"/>
      <c r="B334" s="333" t="s">
        <v>666</v>
      </c>
      <c r="C334" s="340">
        <f t="shared" ref="C334:I334" si="187">C320*C330/100000</f>
        <v>1.35</v>
      </c>
      <c r="D334" s="430">
        <f t="shared" si="187"/>
        <v>1.4175</v>
      </c>
      <c r="E334" s="430">
        <f t="shared" si="187"/>
        <v>1.4883999999999999</v>
      </c>
      <c r="F334" s="430">
        <f t="shared" si="187"/>
        <v>1.5628</v>
      </c>
      <c r="G334" s="430">
        <f t="shared" si="187"/>
        <v>1.6409</v>
      </c>
      <c r="H334" s="430">
        <f t="shared" si="187"/>
        <v>1.7229000000000001</v>
      </c>
      <c r="I334" s="430">
        <f t="shared" si="187"/>
        <v>3.6179999999999999</v>
      </c>
    </row>
    <row r="335" spans="1:9">
      <c r="A335" s="317"/>
      <c r="B335" s="333"/>
      <c r="C335" s="340"/>
      <c r="D335" s="430"/>
      <c r="E335" s="430"/>
      <c r="F335" s="430"/>
      <c r="G335" s="430"/>
      <c r="H335" s="430"/>
      <c r="I335" s="430"/>
    </row>
    <row r="336" spans="1:9" hidden="1">
      <c r="A336" s="317"/>
      <c r="B336" s="333" t="str">
        <f>+B331</f>
        <v>Oil Cake</v>
      </c>
      <c r="C336" s="340"/>
      <c r="D336" s="430"/>
      <c r="E336" s="430"/>
      <c r="F336" s="430"/>
      <c r="G336" s="430"/>
      <c r="H336" s="430"/>
      <c r="I336" s="430"/>
    </row>
    <row r="337" spans="1:9" hidden="1">
      <c r="A337" s="317"/>
      <c r="B337" s="333" t="s">
        <v>665</v>
      </c>
      <c r="C337" s="340">
        <v>0</v>
      </c>
      <c r="D337" s="430">
        <f t="shared" ref="D337" si="188">C338</f>
        <v>0</v>
      </c>
      <c r="E337" s="430">
        <f t="shared" ref="E337" si="189">D338</f>
        <v>0</v>
      </c>
      <c r="F337" s="430">
        <f t="shared" ref="F337" si="190">E338</f>
        <v>0</v>
      </c>
      <c r="G337" s="430">
        <f t="shared" ref="G337" si="191">F338</f>
        <v>0</v>
      </c>
      <c r="H337" s="430">
        <f t="shared" ref="H337" si="192">G338</f>
        <v>0</v>
      </c>
      <c r="I337" s="430">
        <f t="shared" ref="I337" si="193">H338</f>
        <v>0</v>
      </c>
    </row>
    <row r="338" spans="1:9" hidden="1">
      <c r="A338" s="317"/>
      <c r="B338" s="333" t="s">
        <v>666</v>
      </c>
      <c r="C338" s="340">
        <f>+C331*C326/100000</f>
        <v>0</v>
      </c>
      <c r="D338" s="340">
        <f t="shared" ref="D338:I338" si="194">+D331*D326/100000</f>
        <v>0</v>
      </c>
      <c r="E338" s="340">
        <f t="shared" si="194"/>
        <v>0</v>
      </c>
      <c r="F338" s="340">
        <f t="shared" si="194"/>
        <v>0</v>
      </c>
      <c r="G338" s="340">
        <f t="shared" si="194"/>
        <v>0</v>
      </c>
      <c r="H338" s="340">
        <f t="shared" si="194"/>
        <v>0</v>
      </c>
      <c r="I338" s="340">
        <f t="shared" si="194"/>
        <v>0</v>
      </c>
    </row>
    <row r="339" spans="1:9">
      <c r="A339" s="317"/>
      <c r="B339" s="333"/>
      <c r="C339" s="340"/>
      <c r="D339" s="340"/>
      <c r="E339" s="340"/>
      <c r="F339" s="340"/>
      <c r="G339" s="340"/>
      <c r="H339" s="340"/>
      <c r="I339" s="340"/>
    </row>
    <row r="340" spans="1:9">
      <c r="A340" s="344"/>
      <c r="B340" s="316" t="s">
        <v>949</v>
      </c>
      <c r="C340" s="327"/>
      <c r="D340" s="419"/>
      <c r="E340" s="419"/>
      <c r="F340" s="419"/>
      <c r="G340" s="419"/>
      <c r="H340" s="419"/>
      <c r="I340" s="419"/>
    </row>
    <row r="341" spans="1:9">
      <c r="A341" s="339" t="s">
        <v>167</v>
      </c>
      <c r="B341" s="316" t="str">
        <f>+B219</f>
        <v>Cattle Feed</v>
      </c>
      <c r="C341" s="333"/>
      <c r="D341" s="391"/>
      <c r="E341" s="391"/>
      <c r="F341" s="391"/>
      <c r="G341" s="391"/>
      <c r="H341" s="345"/>
      <c r="I341" s="345"/>
    </row>
    <row r="342" spans="1:9">
      <c r="A342" s="344"/>
      <c r="B342" s="333" t="s">
        <v>661</v>
      </c>
      <c r="C342" s="333">
        <f>0</f>
        <v>0</v>
      </c>
      <c r="D342" s="391">
        <f t="shared" ref="D342" si="195">C345</f>
        <v>20</v>
      </c>
      <c r="E342" s="391">
        <f t="shared" ref="E342" si="196">D345</f>
        <v>23</v>
      </c>
      <c r="F342" s="391">
        <f t="shared" ref="F342" si="197">E345</f>
        <v>25</v>
      </c>
      <c r="G342" s="391">
        <f t="shared" ref="G342" si="198">F345</f>
        <v>27</v>
      </c>
      <c r="H342" s="391">
        <f t="shared" ref="H342" si="199">G345</f>
        <v>29</v>
      </c>
      <c r="I342" s="391">
        <f t="shared" ref="I342" si="200">H345</f>
        <v>31</v>
      </c>
    </row>
    <row r="343" spans="1:9">
      <c r="A343" s="344"/>
      <c r="B343" s="333" t="s">
        <v>662</v>
      </c>
      <c r="C343" s="334">
        <f t="shared" ref="C343:I343" si="201">+B98</f>
        <v>488.13333333333333</v>
      </c>
      <c r="D343" s="334">
        <f t="shared" si="201"/>
        <v>538.26666666666677</v>
      </c>
      <c r="E343" s="334">
        <f t="shared" si="201"/>
        <v>581.73333333333335</v>
      </c>
      <c r="F343" s="334">
        <f t="shared" si="201"/>
        <v>631.86666666666667</v>
      </c>
      <c r="G343" s="334">
        <f t="shared" si="201"/>
        <v>672.00000000000011</v>
      </c>
      <c r="H343" s="334">
        <f t="shared" si="201"/>
        <v>715.46666666666681</v>
      </c>
      <c r="I343" s="334">
        <f t="shared" si="201"/>
        <v>762.26666666666677</v>
      </c>
    </row>
    <row r="344" spans="1:9">
      <c r="A344" s="344"/>
      <c r="B344" s="333" t="s">
        <v>663</v>
      </c>
      <c r="C344" s="340">
        <f t="shared" ref="C344:I344" si="202">C342+C343-C345</f>
        <v>468.13333333333333</v>
      </c>
      <c r="D344" s="391">
        <f t="shared" si="202"/>
        <v>535.26666666666677</v>
      </c>
      <c r="E344" s="391">
        <f t="shared" si="202"/>
        <v>579.73333333333335</v>
      </c>
      <c r="F344" s="391">
        <f t="shared" si="202"/>
        <v>629.86666666666667</v>
      </c>
      <c r="G344" s="391">
        <f t="shared" si="202"/>
        <v>670.00000000000011</v>
      </c>
      <c r="H344" s="391">
        <f t="shared" si="202"/>
        <v>713.46666666666681</v>
      </c>
      <c r="I344" s="391">
        <f t="shared" si="202"/>
        <v>760.26666666666677</v>
      </c>
    </row>
    <row r="345" spans="1:9">
      <c r="A345" s="344"/>
      <c r="B345" s="333" t="s">
        <v>333</v>
      </c>
      <c r="C345" s="333">
        <f t="shared" ref="C345:I345" si="203">ROUND((C343+C342)/24,0)</f>
        <v>20</v>
      </c>
      <c r="D345" s="391">
        <f t="shared" si="203"/>
        <v>23</v>
      </c>
      <c r="E345" s="391">
        <f t="shared" si="203"/>
        <v>25</v>
      </c>
      <c r="F345" s="391">
        <f t="shared" si="203"/>
        <v>27</v>
      </c>
      <c r="G345" s="391">
        <f t="shared" si="203"/>
        <v>29</v>
      </c>
      <c r="H345" s="391">
        <f t="shared" si="203"/>
        <v>31</v>
      </c>
      <c r="I345" s="391">
        <f t="shared" si="203"/>
        <v>33</v>
      </c>
    </row>
    <row r="346" spans="1:9">
      <c r="A346" s="317"/>
      <c r="B346" s="317"/>
      <c r="C346" s="317"/>
      <c r="D346" s="345"/>
      <c r="E346" s="345"/>
      <c r="F346" s="345"/>
      <c r="G346" s="345"/>
      <c r="H346" s="345"/>
      <c r="I346" s="345"/>
    </row>
    <row r="347" spans="1:9">
      <c r="A347" s="317"/>
      <c r="B347" s="317"/>
      <c r="C347" s="317"/>
      <c r="D347" s="345"/>
      <c r="E347" s="345"/>
      <c r="F347" s="345"/>
      <c r="G347" s="345"/>
      <c r="H347" s="345"/>
      <c r="I347" s="345"/>
    </row>
    <row r="348" spans="1:9">
      <c r="A348" s="317"/>
      <c r="B348" s="316" t="s">
        <v>664</v>
      </c>
      <c r="C348" s="333"/>
      <c r="D348" s="345"/>
      <c r="E348" s="345"/>
      <c r="F348" s="345"/>
      <c r="G348" s="345"/>
      <c r="H348" s="345"/>
      <c r="I348" s="345"/>
    </row>
    <row r="349" spans="1:9">
      <c r="A349" s="344" t="s">
        <v>167</v>
      </c>
      <c r="B349" s="329" t="str">
        <f>+B341</f>
        <v>Cattle Feed</v>
      </c>
      <c r="C349" s="522">
        <f t="shared" ref="C349:I349" si="204">+C220</f>
        <v>29000</v>
      </c>
      <c r="D349" s="522">
        <f t="shared" si="204"/>
        <v>30450</v>
      </c>
      <c r="E349" s="522">
        <f t="shared" si="204"/>
        <v>31972.5</v>
      </c>
      <c r="F349" s="522">
        <f t="shared" si="204"/>
        <v>33571.125</v>
      </c>
      <c r="G349" s="522">
        <f t="shared" si="204"/>
        <v>35249.681250000001</v>
      </c>
      <c r="H349" s="522">
        <f t="shared" si="204"/>
        <v>37012.165312500001</v>
      </c>
      <c r="I349" s="522">
        <f t="shared" si="204"/>
        <v>38862.773578125001</v>
      </c>
    </row>
    <row r="350" spans="1:9">
      <c r="A350" s="317"/>
      <c r="B350" s="317"/>
      <c r="C350" s="317">
        <f>+'Input Sheet'!C131</f>
        <v>0</v>
      </c>
      <c r="D350" s="317">
        <f>+'Input Sheet'!D131</f>
        <v>0</v>
      </c>
      <c r="E350" s="317">
        <f>+'Input Sheet'!E131</f>
        <v>0</v>
      </c>
      <c r="F350" s="317">
        <f>+'Input Sheet'!F131</f>
        <v>0</v>
      </c>
      <c r="G350" s="317">
        <f>+'Input Sheet'!G131</f>
        <v>0</v>
      </c>
      <c r="H350" s="317">
        <f>+'Input Sheet'!H131</f>
        <v>0</v>
      </c>
      <c r="I350" s="317">
        <f>+'Input Sheet'!I131</f>
        <v>0</v>
      </c>
    </row>
    <row r="351" spans="1:9">
      <c r="A351" s="317"/>
      <c r="B351" s="318" t="str">
        <f>B349</f>
        <v>Cattle Feed</v>
      </c>
      <c r="C351" s="317"/>
      <c r="D351" s="317"/>
      <c r="E351" s="317"/>
      <c r="F351" s="317"/>
      <c r="G351" s="317"/>
      <c r="H351" s="317"/>
      <c r="I351" s="317"/>
    </row>
    <row r="352" spans="1:9">
      <c r="A352" s="317"/>
      <c r="B352" s="333" t="s">
        <v>665</v>
      </c>
      <c r="C352" s="317">
        <v>0</v>
      </c>
      <c r="D352" s="345">
        <f>+C353</f>
        <v>5.8</v>
      </c>
      <c r="E352" s="345">
        <f t="shared" ref="E352:I352" si="205">+D353</f>
        <v>7.0034999999999998</v>
      </c>
      <c r="F352" s="345">
        <f t="shared" si="205"/>
        <v>7.993125</v>
      </c>
      <c r="G352" s="345">
        <f t="shared" si="205"/>
        <v>9.0642037500000008</v>
      </c>
      <c r="H352" s="345">
        <f t="shared" si="205"/>
        <v>10.222407562500001</v>
      </c>
      <c r="I352" s="345">
        <f t="shared" si="205"/>
        <v>11.473771246875001</v>
      </c>
    </row>
    <row r="353" spans="1:9">
      <c r="A353" s="317"/>
      <c r="B353" s="333" t="s">
        <v>666</v>
      </c>
      <c r="C353" s="361">
        <f t="shared" ref="C353:I353" si="206">+C349*C345/100000</f>
        <v>5.8</v>
      </c>
      <c r="D353" s="361">
        <f t="shared" si="206"/>
        <v>7.0034999999999998</v>
      </c>
      <c r="E353" s="361">
        <f t="shared" si="206"/>
        <v>7.993125</v>
      </c>
      <c r="F353" s="361">
        <f t="shared" si="206"/>
        <v>9.0642037500000008</v>
      </c>
      <c r="G353" s="361">
        <f t="shared" si="206"/>
        <v>10.222407562500001</v>
      </c>
      <c r="H353" s="361">
        <f t="shared" si="206"/>
        <v>11.473771246875001</v>
      </c>
      <c r="I353" s="361">
        <f t="shared" si="206"/>
        <v>12.82471528078125</v>
      </c>
    </row>
    <row r="354" spans="1:9">
      <c r="A354" s="317"/>
      <c r="B354" s="333"/>
      <c r="C354" s="361"/>
      <c r="D354" s="361"/>
      <c r="E354" s="361"/>
      <c r="F354" s="361"/>
      <c r="G354" s="361"/>
      <c r="H354" s="361"/>
      <c r="I354" s="361"/>
    </row>
    <row r="355" spans="1:9">
      <c r="A355" s="317"/>
      <c r="B355" s="333"/>
      <c r="C355" s="361"/>
      <c r="D355" s="361"/>
      <c r="E355" s="361"/>
      <c r="F355" s="361"/>
      <c r="G355" s="361"/>
      <c r="H355" s="361"/>
      <c r="I355" s="361"/>
    </row>
    <row r="356" spans="1:9">
      <c r="A356" s="317"/>
      <c r="B356" s="316" t="s">
        <v>964</v>
      </c>
      <c r="C356" s="361"/>
      <c r="D356" s="361"/>
      <c r="E356" s="361"/>
      <c r="F356" s="361"/>
      <c r="G356" s="361"/>
      <c r="H356" s="361"/>
      <c r="I356" s="361"/>
    </row>
    <row r="357" spans="1:9">
      <c r="A357" s="317"/>
      <c r="B357" s="333"/>
      <c r="C357" s="361"/>
      <c r="D357" s="361"/>
      <c r="E357" s="361"/>
      <c r="F357" s="361"/>
      <c r="G357" s="361"/>
      <c r="H357" s="361"/>
      <c r="I357" s="361"/>
    </row>
    <row r="358" spans="1:9">
      <c r="A358" s="317"/>
      <c r="B358" s="316" t="s">
        <v>958</v>
      </c>
      <c r="C358" s="333"/>
      <c r="D358" s="391"/>
      <c r="E358" s="391"/>
      <c r="F358" s="391"/>
      <c r="G358" s="391"/>
      <c r="H358" s="345"/>
      <c r="I358" s="345"/>
    </row>
    <row r="359" spans="1:9">
      <c r="A359" s="317"/>
      <c r="B359" s="333" t="s">
        <v>661</v>
      </c>
      <c r="C359" s="333">
        <f>0</f>
        <v>0</v>
      </c>
      <c r="D359" s="391">
        <f t="shared" ref="D359" si="207">C362</f>
        <v>3</v>
      </c>
      <c r="E359" s="391">
        <f t="shared" ref="E359" si="208">D362</f>
        <v>3</v>
      </c>
      <c r="F359" s="391">
        <f t="shared" ref="F359" si="209">E362</f>
        <v>3</v>
      </c>
      <c r="G359" s="391">
        <f t="shared" ref="G359" si="210">F362</f>
        <v>4</v>
      </c>
      <c r="H359" s="391">
        <f t="shared" ref="H359" si="211">G362</f>
        <v>4</v>
      </c>
      <c r="I359" s="391">
        <f t="shared" ref="I359" si="212">H362</f>
        <v>5</v>
      </c>
    </row>
    <row r="360" spans="1:9">
      <c r="A360" s="317"/>
      <c r="B360" s="333" t="s">
        <v>662</v>
      </c>
      <c r="C360" s="334">
        <f t="shared" ref="C360:I360" si="213">+B36</f>
        <v>64.56</v>
      </c>
      <c r="D360" s="334">
        <f t="shared" si="213"/>
        <v>70.720000000000027</v>
      </c>
      <c r="E360" s="334">
        <f t="shared" si="213"/>
        <v>79.880000000000038</v>
      </c>
      <c r="F360" s="334">
        <f t="shared" si="213"/>
        <v>86.040000000000106</v>
      </c>
      <c r="G360" s="334">
        <f t="shared" si="213"/>
        <v>97.200000000000045</v>
      </c>
      <c r="H360" s="334">
        <f t="shared" si="213"/>
        <v>107.36000000000004</v>
      </c>
      <c r="I360" s="334">
        <f t="shared" si="213"/>
        <v>114.52000000000015</v>
      </c>
    </row>
    <row r="361" spans="1:9">
      <c r="A361" s="317"/>
      <c r="B361" s="333" t="s">
        <v>663</v>
      </c>
      <c r="C361" s="340">
        <f t="shared" ref="C361:I361" si="214">C359+C360-C362</f>
        <v>61.56</v>
      </c>
      <c r="D361" s="391">
        <f t="shared" si="214"/>
        <v>70.720000000000027</v>
      </c>
      <c r="E361" s="391">
        <f t="shared" si="214"/>
        <v>79.880000000000038</v>
      </c>
      <c r="F361" s="391">
        <f t="shared" si="214"/>
        <v>85.040000000000106</v>
      </c>
      <c r="G361" s="391">
        <f t="shared" si="214"/>
        <v>97.200000000000045</v>
      </c>
      <c r="H361" s="391">
        <f t="shared" si="214"/>
        <v>106.36000000000004</v>
      </c>
      <c r="I361" s="391">
        <f t="shared" si="214"/>
        <v>114.52000000000015</v>
      </c>
    </row>
    <row r="362" spans="1:9">
      <c r="A362" s="317"/>
      <c r="B362" s="333" t="s">
        <v>333</v>
      </c>
      <c r="C362" s="333">
        <f>ROUND((C360+C359)/24,0)</f>
        <v>3</v>
      </c>
      <c r="D362" s="333">
        <f t="shared" ref="D362:I362" si="215">ROUND((D360+D359)/24,0)</f>
        <v>3</v>
      </c>
      <c r="E362" s="333">
        <f t="shared" si="215"/>
        <v>3</v>
      </c>
      <c r="F362" s="333">
        <f t="shared" si="215"/>
        <v>4</v>
      </c>
      <c r="G362" s="333">
        <f t="shared" si="215"/>
        <v>4</v>
      </c>
      <c r="H362" s="333">
        <f t="shared" si="215"/>
        <v>5</v>
      </c>
      <c r="I362" s="333">
        <f t="shared" si="215"/>
        <v>5</v>
      </c>
    </row>
    <row r="363" spans="1:9">
      <c r="A363" s="317"/>
      <c r="B363" s="333"/>
      <c r="C363" s="361"/>
      <c r="D363" s="361"/>
      <c r="E363" s="361"/>
      <c r="F363" s="361"/>
      <c r="G363" s="361"/>
      <c r="H363" s="361"/>
      <c r="I363" s="361"/>
    </row>
    <row r="364" spans="1:9">
      <c r="A364" s="317"/>
      <c r="B364" s="316" t="s">
        <v>664</v>
      </c>
      <c r="C364" s="333"/>
      <c r="D364" s="345"/>
      <c r="E364" s="345"/>
      <c r="F364" s="345"/>
      <c r="G364" s="345"/>
      <c r="H364" s="345"/>
      <c r="I364" s="345"/>
    </row>
    <row r="365" spans="1:9">
      <c r="A365" s="317"/>
      <c r="B365" s="329" t="str">
        <f>+B358</f>
        <v>Grade I</v>
      </c>
      <c r="C365" s="522">
        <v>16000</v>
      </c>
      <c r="D365" s="522">
        <f>+C365*1.05</f>
        <v>16800</v>
      </c>
      <c r="E365" s="522">
        <f t="shared" ref="E365:I365" si="216">+D365*1.05</f>
        <v>17640</v>
      </c>
      <c r="F365" s="522">
        <f t="shared" si="216"/>
        <v>18522</v>
      </c>
      <c r="G365" s="522">
        <f t="shared" si="216"/>
        <v>19448.100000000002</v>
      </c>
      <c r="H365" s="522">
        <f t="shared" si="216"/>
        <v>20420.505000000005</v>
      </c>
      <c r="I365" s="522">
        <f t="shared" si="216"/>
        <v>21441.530250000007</v>
      </c>
    </row>
    <row r="366" spans="1:9">
      <c r="A366" s="317"/>
      <c r="B366" s="329"/>
      <c r="C366" s="522"/>
      <c r="D366" s="522"/>
      <c r="E366" s="522"/>
      <c r="F366" s="522"/>
      <c r="G366" s="522"/>
      <c r="H366" s="522"/>
      <c r="I366" s="522"/>
    </row>
    <row r="367" spans="1:9">
      <c r="A367" s="317"/>
      <c r="B367" s="318" t="str">
        <f>B365</f>
        <v>Grade I</v>
      </c>
      <c r="C367" s="317"/>
      <c r="D367" s="317"/>
      <c r="E367" s="317"/>
      <c r="F367" s="317"/>
      <c r="G367" s="317"/>
      <c r="H367" s="317"/>
      <c r="I367" s="317"/>
    </row>
    <row r="368" spans="1:9">
      <c r="A368" s="317"/>
      <c r="B368" s="333" t="s">
        <v>665</v>
      </c>
      <c r="C368" s="317">
        <v>0</v>
      </c>
      <c r="D368" s="345">
        <f>+C369</f>
        <v>0.48</v>
      </c>
      <c r="E368" s="345">
        <f t="shared" ref="E368" si="217">+D369</f>
        <v>0.504</v>
      </c>
      <c r="F368" s="345">
        <f t="shared" ref="F368" si="218">+E369</f>
        <v>0.5292</v>
      </c>
      <c r="G368" s="345">
        <f t="shared" ref="G368" si="219">+F369</f>
        <v>0.74087999999999998</v>
      </c>
      <c r="H368" s="345">
        <f t="shared" ref="H368" si="220">+G369</f>
        <v>0.77792400000000006</v>
      </c>
      <c r="I368" s="345">
        <f t="shared" ref="I368" si="221">+H369</f>
        <v>1.0210252500000003</v>
      </c>
    </row>
    <row r="369" spans="1:9">
      <c r="A369" s="317"/>
      <c r="B369" s="333" t="s">
        <v>666</v>
      </c>
      <c r="C369" s="361">
        <f>+C362*C365/100000</f>
        <v>0.48</v>
      </c>
      <c r="D369" s="361">
        <f t="shared" ref="D369:I369" si="222">+D362*D365/100000</f>
        <v>0.504</v>
      </c>
      <c r="E369" s="361">
        <f t="shared" si="222"/>
        <v>0.5292</v>
      </c>
      <c r="F369" s="361">
        <f t="shared" si="222"/>
        <v>0.74087999999999998</v>
      </c>
      <c r="G369" s="361">
        <f t="shared" si="222"/>
        <v>0.77792400000000006</v>
      </c>
      <c r="H369" s="361">
        <f t="shared" si="222"/>
        <v>1.0210252500000003</v>
      </c>
      <c r="I369" s="361">
        <f t="shared" si="222"/>
        <v>1.0720765125000005</v>
      </c>
    </row>
    <row r="370" spans="1:9">
      <c r="A370" s="317"/>
      <c r="B370" s="333"/>
      <c r="C370" s="361"/>
      <c r="D370" s="361"/>
      <c r="E370" s="361"/>
      <c r="F370" s="361"/>
      <c r="G370" s="361"/>
      <c r="H370" s="361"/>
      <c r="I370" s="361"/>
    </row>
    <row r="371" spans="1:9" hidden="1">
      <c r="A371" s="317"/>
      <c r="B371" s="333"/>
      <c r="C371" s="361"/>
      <c r="D371" s="361"/>
      <c r="E371" s="361"/>
      <c r="F371" s="361"/>
      <c r="G371" s="361"/>
      <c r="H371" s="361"/>
      <c r="I371" s="361"/>
    </row>
    <row r="372" spans="1:9" hidden="1">
      <c r="A372" s="317"/>
      <c r="B372" s="333"/>
      <c r="C372" s="361"/>
      <c r="D372" s="361"/>
      <c r="E372" s="361"/>
      <c r="F372" s="361"/>
      <c r="G372" s="361"/>
      <c r="H372" s="361"/>
      <c r="I372" s="361"/>
    </row>
    <row r="373" spans="1:9" hidden="1">
      <c r="A373" s="317"/>
      <c r="B373" s="333"/>
      <c r="C373" s="317"/>
      <c r="D373" s="317"/>
      <c r="E373" s="317"/>
      <c r="F373" s="317"/>
      <c r="G373" s="317"/>
      <c r="H373" s="317"/>
      <c r="I373" s="317"/>
    </row>
    <row r="374" spans="1:9" hidden="1">
      <c r="A374" s="317"/>
      <c r="B374" s="333" t="s">
        <v>666</v>
      </c>
      <c r="C374" s="340">
        <v>0</v>
      </c>
      <c r="D374" s="430">
        <f t="shared" ref="D374" si="223">C375</f>
        <v>5.8</v>
      </c>
      <c r="E374" s="430">
        <f t="shared" ref="E374" si="224">D375</f>
        <v>7.0034999999999998</v>
      </c>
      <c r="F374" s="430">
        <f t="shared" ref="F374" si="225">E375</f>
        <v>7.993125</v>
      </c>
      <c r="G374" s="430">
        <f t="shared" ref="G374" si="226">F375</f>
        <v>9.0642037500000008</v>
      </c>
      <c r="H374" s="430">
        <f t="shared" ref="H374" si="227">G375</f>
        <v>10.222407562500001</v>
      </c>
      <c r="I374" s="430">
        <f t="shared" ref="I374" si="228">H375</f>
        <v>11.473771246875001</v>
      </c>
    </row>
    <row r="375" spans="1:9" hidden="1">
      <c r="A375" s="317"/>
      <c r="B375" s="333" t="s">
        <v>666</v>
      </c>
      <c r="C375" s="340">
        <f t="shared" ref="C375:I375" si="229">C345*C349/100000</f>
        <v>5.8</v>
      </c>
      <c r="D375" s="430">
        <f t="shared" si="229"/>
        <v>7.0034999999999998</v>
      </c>
      <c r="E375" s="430">
        <f t="shared" si="229"/>
        <v>7.993125</v>
      </c>
      <c r="F375" s="430">
        <f t="shared" si="229"/>
        <v>9.0642037500000008</v>
      </c>
      <c r="G375" s="430">
        <f t="shared" si="229"/>
        <v>10.222407562500001</v>
      </c>
      <c r="H375" s="430">
        <f t="shared" si="229"/>
        <v>11.473771246875001</v>
      </c>
      <c r="I375" s="430">
        <f t="shared" si="229"/>
        <v>12.82471528078125</v>
      </c>
    </row>
    <row r="376" spans="1:9" hidden="1">
      <c r="A376" s="317"/>
      <c r="B376" s="333"/>
      <c r="C376" s="340"/>
      <c r="D376" s="430"/>
      <c r="E376" s="430"/>
      <c r="F376" s="430"/>
      <c r="G376" s="430"/>
      <c r="H376" s="430"/>
      <c r="I376" s="430"/>
    </row>
    <row r="377" spans="1:9" hidden="1">
      <c r="A377" s="317"/>
      <c r="B377" s="333">
        <f>+B350</f>
        <v>0</v>
      </c>
      <c r="C377" s="340"/>
      <c r="D377" s="430"/>
      <c r="E377" s="430"/>
      <c r="F377" s="430"/>
      <c r="G377" s="430"/>
      <c r="H377" s="430"/>
      <c r="I377" s="430"/>
    </row>
    <row r="378" spans="1:9" hidden="1">
      <c r="A378" s="317"/>
      <c r="B378" s="333" t="s">
        <v>665</v>
      </c>
      <c r="C378" s="340">
        <v>0</v>
      </c>
      <c r="D378" s="430" t="e">
        <f t="shared" ref="D378" si="230">C379</f>
        <v>#REF!</v>
      </c>
      <c r="E378" s="430" t="e">
        <f t="shared" ref="E378" si="231">D379</f>
        <v>#REF!</v>
      </c>
      <c r="F378" s="430" t="e">
        <f t="shared" ref="F378" si="232">E379</f>
        <v>#REF!</v>
      </c>
      <c r="G378" s="430" t="e">
        <f t="shared" ref="G378" si="233">F379</f>
        <v>#REF!</v>
      </c>
      <c r="H378" s="430" t="e">
        <f t="shared" ref="H378" si="234">G379</f>
        <v>#REF!</v>
      </c>
      <c r="I378" s="430" t="e">
        <f t="shared" ref="I378" si="235">H379</f>
        <v>#REF!</v>
      </c>
    </row>
    <row r="379" spans="1:9" hidden="1">
      <c r="A379" s="317"/>
      <c r="B379" s="333" t="s">
        <v>666</v>
      </c>
      <c r="C379" s="340" t="e">
        <f>+C350*#REF!/100000</f>
        <v>#REF!</v>
      </c>
      <c r="D379" s="340" t="e">
        <f>+D350*#REF!/100000</f>
        <v>#REF!</v>
      </c>
      <c r="E379" s="340" t="e">
        <f>+E350*#REF!/100000</f>
        <v>#REF!</v>
      </c>
      <c r="F379" s="340" t="e">
        <f>+F350*#REF!/100000</f>
        <v>#REF!</v>
      </c>
      <c r="G379" s="340" t="e">
        <f>+G350*#REF!/100000</f>
        <v>#REF!</v>
      </c>
      <c r="H379" s="340" t="e">
        <f>+H350*#REF!/100000</f>
        <v>#REF!</v>
      </c>
      <c r="I379" s="340" t="e">
        <f>+I350*#REF!/100000</f>
        <v>#REF!</v>
      </c>
    </row>
    <row r="380" spans="1:9" hidden="1">
      <c r="A380" s="317"/>
      <c r="B380" s="317"/>
      <c r="C380" s="317"/>
      <c r="D380" s="345"/>
      <c r="E380" s="345"/>
      <c r="F380" s="345"/>
      <c r="G380" s="345"/>
      <c r="H380" s="345"/>
      <c r="I380" s="345"/>
    </row>
    <row r="381" spans="1:9" hidden="1">
      <c r="A381" s="339" t="s">
        <v>168</v>
      </c>
      <c r="B381" s="318" t="str">
        <f>+B227</f>
        <v>Grade 2</v>
      </c>
      <c r="C381" s="318"/>
      <c r="D381" s="342"/>
      <c r="E381" s="342"/>
      <c r="F381" s="342"/>
      <c r="G381" s="342"/>
      <c r="H381" s="342"/>
      <c r="I381" s="342"/>
    </row>
    <row r="382" spans="1:9" hidden="1">
      <c r="A382" s="317"/>
      <c r="B382" s="333" t="s">
        <v>661</v>
      </c>
      <c r="C382" s="333">
        <f>0</f>
        <v>0</v>
      </c>
      <c r="D382" s="391">
        <f t="shared" ref="D382:I382" si="236">C385</f>
        <v>0</v>
      </c>
      <c r="E382" s="391">
        <f t="shared" si="236"/>
        <v>0</v>
      </c>
      <c r="F382" s="391">
        <f t="shared" si="236"/>
        <v>0</v>
      </c>
      <c r="G382" s="391">
        <f t="shared" si="236"/>
        <v>0</v>
      </c>
      <c r="H382" s="391">
        <f t="shared" si="236"/>
        <v>0</v>
      </c>
      <c r="I382" s="391">
        <f t="shared" si="236"/>
        <v>0</v>
      </c>
    </row>
    <row r="383" spans="1:9" hidden="1">
      <c r="A383" s="317"/>
      <c r="B383" s="333" t="s">
        <v>662</v>
      </c>
      <c r="C383" s="334">
        <f t="shared" ref="C383:I383" si="237">+B102</f>
        <v>0</v>
      </c>
      <c r="D383" s="391">
        <f t="shared" si="237"/>
        <v>0</v>
      </c>
      <c r="E383" s="391">
        <f t="shared" si="237"/>
        <v>0</v>
      </c>
      <c r="F383" s="391">
        <f t="shared" si="237"/>
        <v>0</v>
      </c>
      <c r="G383" s="391">
        <f t="shared" si="237"/>
        <v>0</v>
      </c>
      <c r="H383" s="391">
        <f t="shared" si="237"/>
        <v>0</v>
      </c>
      <c r="I383" s="391">
        <f t="shared" si="237"/>
        <v>0</v>
      </c>
    </row>
    <row r="384" spans="1:9" hidden="1">
      <c r="A384" s="317"/>
      <c r="B384" s="333" t="s">
        <v>663</v>
      </c>
      <c r="C384" s="333">
        <f t="shared" ref="C384:I384" si="238">C382+C383-C385</f>
        <v>0</v>
      </c>
      <c r="D384" s="391">
        <f t="shared" si="238"/>
        <v>0</v>
      </c>
      <c r="E384" s="391">
        <f t="shared" si="238"/>
        <v>0</v>
      </c>
      <c r="F384" s="391">
        <f t="shared" si="238"/>
        <v>0</v>
      </c>
      <c r="G384" s="391">
        <f t="shared" si="238"/>
        <v>0</v>
      </c>
      <c r="H384" s="391">
        <f t="shared" si="238"/>
        <v>0</v>
      </c>
      <c r="I384" s="391">
        <f t="shared" si="238"/>
        <v>0</v>
      </c>
    </row>
    <row r="385" spans="1:9" hidden="1">
      <c r="A385" s="317"/>
      <c r="B385" s="333" t="s">
        <v>333</v>
      </c>
      <c r="C385" s="333">
        <v>0</v>
      </c>
      <c r="D385" s="391">
        <v>0</v>
      </c>
      <c r="E385" s="391">
        <v>0</v>
      </c>
      <c r="F385" s="391">
        <v>0</v>
      </c>
      <c r="G385" s="391">
        <v>0</v>
      </c>
      <c r="H385" s="391">
        <v>0</v>
      </c>
      <c r="I385" s="391">
        <v>0</v>
      </c>
    </row>
    <row r="386" spans="1:9" hidden="1">
      <c r="A386" s="317"/>
      <c r="B386" s="317"/>
      <c r="C386" s="317"/>
      <c r="D386" s="345"/>
      <c r="E386" s="345"/>
      <c r="F386" s="345"/>
      <c r="G386" s="345"/>
      <c r="H386" s="345"/>
      <c r="I386" s="345"/>
    </row>
    <row r="387" spans="1:9" hidden="1">
      <c r="A387" s="339" t="s">
        <v>169</v>
      </c>
      <c r="B387" s="318" t="str">
        <f>+B231</f>
        <v>Animal Feed</v>
      </c>
      <c r="C387" s="318"/>
      <c r="D387" s="342"/>
      <c r="E387" s="342"/>
      <c r="F387" s="342"/>
      <c r="G387" s="342"/>
      <c r="H387" s="342"/>
      <c r="I387" s="342"/>
    </row>
    <row r="388" spans="1:9" hidden="1">
      <c r="A388" s="317"/>
      <c r="B388" s="333" t="s">
        <v>661</v>
      </c>
      <c r="C388" s="333">
        <f>0</f>
        <v>0</v>
      </c>
      <c r="D388" s="391">
        <f t="shared" ref="D388:I388" si="239">C391</f>
        <v>0</v>
      </c>
      <c r="E388" s="391">
        <f t="shared" si="239"/>
        <v>0</v>
      </c>
      <c r="F388" s="391">
        <f t="shared" si="239"/>
        <v>0</v>
      </c>
      <c r="G388" s="391">
        <f t="shared" si="239"/>
        <v>0</v>
      </c>
      <c r="H388" s="391">
        <f t="shared" si="239"/>
        <v>0</v>
      </c>
      <c r="I388" s="391">
        <f t="shared" si="239"/>
        <v>0</v>
      </c>
    </row>
    <row r="389" spans="1:9" hidden="1">
      <c r="A389" s="317"/>
      <c r="B389" s="333" t="s">
        <v>662</v>
      </c>
      <c r="C389" s="334">
        <f t="shared" ref="C389:I389" si="240">+B103</f>
        <v>0</v>
      </c>
      <c r="D389" s="391">
        <f t="shared" si="240"/>
        <v>0</v>
      </c>
      <c r="E389" s="391">
        <f t="shared" si="240"/>
        <v>0</v>
      </c>
      <c r="F389" s="391">
        <f t="shared" si="240"/>
        <v>0</v>
      </c>
      <c r="G389" s="391">
        <f t="shared" si="240"/>
        <v>0</v>
      </c>
      <c r="H389" s="391">
        <f t="shared" si="240"/>
        <v>0</v>
      </c>
      <c r="I389" s="391">
        <f t="shared" si="240"/>
        <v>0</v>
      </c>
    </row>
    <row r="390" spans="1:9" hidden="1">
      <c r="A390" s="317"/>
      <c r="B390" s="333" t="s">
        <v>663</v>
      </c>
      <c r="C390" s="333">
        <f t="shared" ref="C390:I390" si="241">C388+C389-C391</f>
        <v>0</v>
      </c>
      <c r="D390" s="391">
        <f t="shared" si="241"/>
        <v>0</v>
      </c>
      <c r="E390" s="391">
        <f t="shared" si="241"/>
        <v>0</v>
      </c>
      <c r="F390" s="391">
        <f t="shared" si="241"/>
        <v>0</v>
      </c>
      <c r="G390" s="391">
        <f t="shared" si="241"/>
        <v>0</v>
      </c>
      <c r="H390" s="391">
        <f t="shared" si="241"/>
        <v>0</v>
      </c>
      <c r="I390" s="391">
        <f t="shared" si="241"/>
        <v>0</v>
      </c>
    </row>
    <row r="391" spans="1:9" hidden="1">
      <c r="A391" s="317"/>
      <c r="B391" s="333" t="s">
        <v>333</v>
      </c>
      <c r="C391" s="333">
        <v>0</v>
      </c>
      <c r="D391" s="391">
        <v>0</v>
      </c>
      <c r="E391" s="391">
        <v>0</v>
      </c>
      <c r="F391" s="391">
        <v>0</v>
      </c>
      <c r="G391" s="391">
        <v>0</v>
      </c>
      <c r="H391" s="391">
        <v>0</v>
      </c>
      <c r="I391" s="391">
        <v>0</v>
      </c>
    </row>
    <row r="392" spans="1:9" hidden="1">
      <c r="A392" s="317"/>
      <c r="B392" s="317"/>
      <c r="C392" s="317"/>
      <c r="D392" s="345"/>
      <c r="E392" s="345"/>
      <c r="F392" s="345"/>
      <c r="G392" s="345"/>
      <c r="H392" s="345"/>
      <c r="I392" s="345"/>
    </row>
    <row r="393" spans="1:9" hidden="1">
      <c r="A393" s="317"/>
      <c r="B393" s="316" t="s">
        <v>664</v>
      </c>
      <c r="C393" s="333"/>
      <c r="D393" s="345"/>
      <c r="E393" s="345"/>
      <c r="F393" s="345"/>
      <c r="G393" s="345"/>
      <c r="H393" s="345"/>
      <c r="I393" s="345"/>
    </row>
    <row r="394" spans="1:9" ht="30" hidden="1">
      <c r="A394" s="344" t="s">
        <v>167</v>
      </c>
      <c r="B394" s="329" t="str">
        <f>+B375</f>
        <v>Value of Closing Stock (Rs. Lakh)</v>
      </c>
      <c r="C394" s="592">
        <f>+'Input Sheet'!C108</f>
        <v>0</v>
      </c>
      <c r="D394" s="592">
        <f>+'Input Sheet'!D108</f>
        <v>0</v>
      </c>
      <c r="E394" s="592">
        <f>+'Input Sheet'!E108</f>
        <v>0</v>
      </c>
      <c r="F394" s="592">
        <f>+'Input Sheet'!F108</f>
        <v>0</v>
      </c>
      <c r="G394" s="592">
        <f>+'Input Sheet'!G108</f>
        <v>0</v>
      </c>
      <c r="H394" s="592">
        <f>+'Input Sheet'!H108</f>
        <v>0</v>
      </c>
      <c r="I394" s="592">
        <f>+'Input Sheet'!I108</f>
        <v>0</v>
      </c>
    </row>
    <row r="395" spans="1:9" hidden="1">
      <c r="A395" s="344" t="s">
        <v>168</v>
      </c>
      <c r="B395" s="329" t="str">
        <f>B381</f>
        <v>Grade 2</v>
      </c>
      <c r="C395" s="592">
        <f>+'Input Sheet'!C109</f>
        <v>0</v>
      </c>
      <c r="D395" s="592">
        <f>+'Input Sheet'!D109</f>
        <v>0</v>
      </c>
      <c r="E395" s="592">
        <f>+'Input Sheet'!E109</f>
        <v>0</v>
      </c>
      <c r="F395" s="592">
        <f>+'Input Sheet'!F109</f>
        <v>0</v>
      </c>
      <c r="G395" s="592">
        <f>+'Input Sheet'!G109</f>
        <v>0</v>
      </c>
      <c r="H395" s="592">
        <f>+'Input Sheet'!H109</f>
        <v>0</v>
      </c>
      <c r="I395" s="592">
        <f>+'Input Sheet'!I109</f>
        <v>0</v>
      </c>
    </row>
    <row r="396" spans="1:9" hidden="1">
      <c r="A396" s="344" t="s">
        <v>169</v>
      </c>
      <c r="B396" s="329" t="str">
        <f>B387</f>
        <v>Animal Feed</v>
      </c>
      <c r="C396" s="592">
        <f>+'Input Sheet'!C110</f>
        <v>0</v>
      </c>
      <c r="D396" s="592">
        <f>+'Input Sheet'!D110</f>
        <v>0</v>
      </c>
      <c r="E396" s="592">
        <f>+'Input Sheet'!E110</f>
        <v>0</v>
      </c>
      <c r="F396" s="592">
        <f>+'Input Sheet'!F110</f>
        <v>0</v>
      </c>
      <c r="G396" s="592">
        <f>+'Input Sheet'!G110</f>
        <v>0</v>
      </c>
      <c r="H396" s="592">
        <f>+'Input Sheet'!H110</f>
        <v>0</v>
      </c>
      <c r="I396" s="592">
        <f>+'Input Sheet'!I110</f>
        <v>0</v>
      </c>
    </row>
    <row r="397" spans="1:9" hidden="1">
      <c r="A397" s="317"/>
      <c r="B397" s="317"/>
      <c r="C397" s="317"/>
      <c r="D397" s="345"/>
      <c r="E397" s="345"/>
      <c r="F397" s="345"/>
      <c r="G397" s="345"/>
      <c r="H397" s="345"/>
      <c r="I397" s="345"/>
    </row>
    <row r="398" spans="1:9" hidden="1">
      <c r="A398" s="318" t="s">
        <v>167</v>
      </c>
      <c r="B398" s="318" t="str">
        <f>B394</f>
        <v>Value of Closing Stock (Rs. Lakh)</v>
      </c>
      <c r="C398" s="317"/>
      <c r="D398" s="345"/>
      <c r="E398" s="345"/>
      <c r="F398" s="345"/>
      <c r="G398" s="345"/>
      <c r="H398" s="345"/>
      <c r="I398" s="345"/>
    </row>
    <row r="399" spans="1:9" hidden="1">
      <c r="A399" s="317"/>
      <c r="B399" s="333" t="s">
        <v>665</v>
      </c>
      <c r="C399" s="340">
        <v>0</v>
      </c>
      <c r="D399" s="430" t="e">
        <f t="shared" ref="D399:I399" si="242">C400</f>
        <v>#REF!</v>
      </c>
      <c r="E399" s="430" t="e">
        <f t="shared" si="242"/>
        <v>#REF!</v>
      </c>
      <c r="F399" s="430" t="e">
        <f t="shared" si="242"/>
        <v>#REF!</v>
      </c>
      <c r="G399" s="430" t="e">
        <f t="shared" si="242"/>
        <v>#REF!</v>
      </c>
      <c r="H399" s="430" t="e">
        <f t="shared" si="242"/>
        <v>#REF!</v>
      </c>
      <c r="I399" s="430" t="e">
        <f t="shared" si="242"/>
        <v>#REF!</v>
      </c>
    </row>
    <row r="400" spans="1:9" hidden="1">
      <c r="A400" s="317"/>
      <c r="B400" s="333" t="s">
        <v>666</v>
      </c>
      <c r="C400" s="340" t="e">
        <f t="shared" ref="C400:I400" si="243">C379*C394/100000</f>
        <v>#REF!</v>
      </c>
      <c r="D400" s="430" t="e">
        <f t="shared" si="243"/>
        <v>#REF!</v>
      </c>
      <c r="E400" s="430" t="e">
        <f t="shared" si="243"/>
        <v>#REF!</v>
      </c>
      <c r="F400" s="430" t="e">
        <f t="shared" si="243"/>
        <v>#REF!</v>
      </c>
      <c r="G400" s="430" t="e">
        <f t="shared" si="243"/>
        <v>#REF!</v>
      </c>
      <c r="H400" s="430" t="e">
        <f t="shared" si="243"/>
        <v>#REF!</v>
      </c>
      <c r="I400" s="430" t="e">
        <f t="shared" si="243"/>
        <v>#REF!</v>
      </c>
    </row>
    <row r="401" spans="1:9" hidden="1">
      <c r="A401" s="317"/>
      <c r="B401" s="317"/>
      <c r="C401" s="317"/>
      <c r="D401" s="345"/>
      <c r="E401" s="345"/>
      <c r="F401" s="345"/>
      <c r="G401" s="345"/>
      <c r="H401" s="345"/>
      <c r="I401" s="345"/>
    </row>
    <row r="402" spans="1:9" hidden="1">
      <c r="A402" s="318" t="s">
        <v>168</v>
      </c>
      <c r="B402" s="318" t="str">
        <f>B381</f>
        <v>Grade 2</v>
      </c>
      <c r="C402" s="317"/>
      <c r="D402" s="345"/>
      <c r="E402" s="345"/>
      <c r="F402" s="345"/>
      <c r="G402" s="345"/>
      <c r="H402" s="345"/>
      <c r="I402" s="345"/>
    </row>
    <row r="403" spans="1:9" hidden="1">
      <c r="A403" s="317"/>
      <c r="B403" s="333" t="s">
        <v>665</v>
      </c>
      <c r="C403" s="340">
        <v>0</v>
      </c>
      <c r="D403" s="430">
        <f t="shared" ref="D403:I403" si="244">C404</f>
        <v>0</v>
      </c>
      <c r="E403" s="430">
        <f t="shared" si="244"/>
        <v>0</v>
      </c>
      <c r="F403" s="430">
        <f t="shared" si="244"/>
        <v>0</v>
      </c>
      <c r="G403" s="430">
        <f t="shared" si="244"/>
        <v>0</v>
      </c>
      <c r="H403" s="430">
        <f t="shared" si="244"/>
        <v>0</v>
      </c>
      <c r="I403" s="430">
        <f t="shared" si="244"/>
        <v>0</v>
      </c>
    </row>
    <row r="404" spans="1:9" hidden="1">
      <c r="A404" s="317"/>
      <c r="B404" s="333" t="s">
        <v>666</v>
      </c>
      <c r="C404" s="340">
        <f t="shared" ref="C404:I404" si="245">C395*C385/100000</f>
        <v>0</v>
      </c>
      <c r="D404" s="430">
        <f t="shared" si="245"/>
        <v>0</v>
      </c>
      <c r="E404" s="430">
        <f t="shared" si="245"/>
        <v>0</v>
      </c>
      <c r="F404" s="430">
        <f t="shared" si="245"/>
        <v>0</v>
      </c>
      <c r="G404" s="430">
        <f t="shared" si="245"/>
        <v>0</v>
      </c>
      <c r="H404" s="430">
        <f t="shared" si="245"/>
        <v>0</v>
      </c>
      <c r="I404" s="430">
        <f t="shared" si="245"/>
        <v>0</v>
      </c>
    </row>
    <row r="405" spans="1:9" hidden="1">
      <c r="A405" s="317"/>
      <c r="B405" s="333"/>
      <c r="C405" s="340"/>
      <c r="D405" s="430"/>
      <c r="E405" s="430"/>
      <c r="F405" s="430"/>
      <c r="G405" s="430"/>
      <c r="H405" s="430"/>
      <c r="I405" s="430"/>
    </row>
    <row r="406" spans="1:9" hidden="1">
      <c r="A406" s="318" t="s">
        <v>168</v>
      </c>
      <c r="B406" s="318" t="str">
        <f>B387</f>
        <v>Animal Feed</v>
      </c>
      <c r="C406" s="317"/>
      <c r="D406" s="345"/>
      <c r="E406" s="345"/>
      <c r="F406" s="345"/>
      <c r="G406" s="345"/>
      <c r="H406" s="345"/>
      <c r="I406" s="345"/>
    </row>
    <row r="407" spans="1:9" hidden="1">
      <c r="A407" s="317"/>
      <c r="B407" s="333" t="s">
        <v>665</v>
      </c>
      <c r="C407" s="340">
        <v>0</v>
      </c>
      <c r="D407" s="430">
        <f t="shared" ref="D407:I407" si="246">C408</f>
        <v>0</v>
      </c>
      <c r="E407" s="430">
        <f t="shared" si="246"/>
        <v>0</v>
      </c>
      <c r="F407" s="430">
        <f t="shared" si="246"/>
        <v>0</v>
      </c>
      <c r="G407" s="430">
        <f t="shared" si="246"/>
        <v>0</v>
      </c>
      <c r="H407" s="430">
        <f t="shared" si="246"/>
        <v>0</v>
      </c>
      <c r="I407" s="430">
        <f t="shared" si="246"/>
        <v>0</v>
      </c>
    </row>
    <row r="408" spans="1:9" hidden="1">
      <c r="A408" s="317"/>
      <c r="B408" s="333" t="s">
        <v>666</v>
      </c>
      <c r="C408" s="340">
        <f t="shared" ref="C408:I408" si="247">C396*C391/100000</f>
        <v>0</v>
      </c>
      <c r="D408" s="430">
        <f t="shared" si="247"/>
        <v>0</v>
      </c>
      <c r="E408" s="430">
        <f t="shared" si="247"/>
        <v>0</v>
      </c>
      <c r="F408" s="430">
        <f t="shared" si="247"/>
        <v>0</v>
      </c>
      <c r="G408" s="430">
        <f t="shared" si="247"/>
        <v>0</v>
      </c>
      <c r="H408" s="430">
        <f t="shared" si="247"/>
        <v>0</v>
      </c>
      <c r="I408" s="430">
        <f t="shared" si="247"/>
        <v>0</v>
      </c>
    </row>
    <row r="409" spans="1:9" hidden="1">
      <c r="A409" s="317"/>
      <c r="B409" s="333"/>
      <c r="C409" s="340"/>
      <c r="D409" s="430"/>
      <c r="E409" s="430"/>
      <c r="F409" s="430"/>
      <c r="G409" s="430"/>
      <c r="H409" s="430"/>
      <c r="I409" s="430"/>
    </row>
    <row r="410" spans="1:9" hidden="1">
      <c r="A410" s="344"/>
      <c r="B410" s="590" t="str">
        <f>+'Input Sheet'!B61</f>
        <v>Finished Goods  -Chilli(MT)</v>
      </c>
      <c r="C410" s="327"/>
      <c r="D410" s="419"/>
      <c r="E410" s="419"/>
      <c r="F410" s="419"/>
      <c r="G410" s="419"/>
      <c r="H410" s="419"/>
      <c r="I410" s="419"/>
    </row>
    <row r="411" spans="1:9" hidden="1">
      <c r="A411" s="339" t="s">
        <v>167</v>
      </c>
      <c r="B411" s="316" t="str">
        <f>+B236</f>
        <v>Green Chilli</v>
      </c>
      <c r="C411" s="333"/>
      <c r="D411" s="391"/>
      <c r="E411" s="391"/>
      <c r="F411" s="391"/>
      <c r="G411" s="391"/>
      <c r="H411" s="345"/>
      <c r="I411" s="345"/>
    </row>
    <row r="412" spans="1:9" hidden="1">
      <c r="A412" s="344"/>
      <c r="B412" s="333" t="s">
        <v>661</v>
      </c>
      <c r="C412" s="333">
        <f>0</f>
        <v>0</v>
      </c>
      <c r="D412" s="391">
        <f t="shared" ref="D412:I412" si="248">C415</f>
        <v>0</v>
      </c>
      <c r="E412" s="391">
        <f t="shared" si="248"/>
        <v>0</v>
      </c>
      <c r="F412" s="391">
        <f t="shared" si="248"/>
        <v>0</v>
      </c>
      <c r="G412" s="391">
        <f t="shared" si="248"/>
        <v>0</v>
      </c>
      <c r="H412" s="391">
        <f t="shared" si="248"/>
        <v>0</v>
      </c>
      <c r="I412" s="391">
        <f t="shared" si="248"/>
        <v>0</v>
      </c>
    </row>
    <row r="413" spans="1:9" hidden="1">
      <c r="A413" s="344"/>
      <c r="B413" s="333" t="s">
        <v>662</v>
      </c>
      <c r="C413" s="334">
        <f t="shared" ref="C413:I413" si="249">+B106</f>
        <v>0</v>
      </c>
      <c r="D413" s="391">
        <f t="shared" si="249"/>
        <v>0</v>
      </c>
      <c r="E413" s="391">
        <f t="shared" si="249"/>
        <v>0</v>
      </c>
      <c r="F413" s="391">
        <f t="shared" si="249"/>
        <v>0</v>
      </c>
      <c r="G413" s="391">
        <f t="shared" si="249"/>
        <v>0</v>
      </c>
      <c r="H413" s="391">
        <f t="shared" si="249"/>
        <v>0</v>
      </c>
      <c r="I413" s="391">
        <f t="shared" si="249"/>
        <v>0</v>
      </c>
    </row>
    <row r="414" spans="1:9" hidden="1">
      <c r="A414" s="344"/>
      <c r="B414" s="333" t="s">
        <v>663</v>
      </c>
      <c r="C414" s="333">
        <f t="shared" ref="C414:I414" si="250">C412+C413-C415</f>
        <v>0</v>
      </c>
      <c r="D414" s="391">
        <f t="shared" si="250"/>
        <v>0</v>
      </c>
      <c r="E414" s="391">
        <f t="shared" si="250"/>
        <v>0</v>
      </c>
      <c r="F414" s="391">
        <f t="shared" si="250"/>
        <v>0</v>
      </c>
      <c r="G414" s="391">
        <f t="shared" si="250"/>
        <v>0</v>
      </c>
      <c r="H414" s="391">
        <f t="shared" si="250"/>
        <v>0</v>
      </c>
      <c r="I414" s="391">
        <f t="shared" si="250"/>
        <v>0</v>
      </c>
    </row>
    <row r="415" spans="1:9" hidden="1">
      <c r="A415" s="344"/>
      <c r="B415" s="333" t="s">
        <v>333</v>
      </c>
      <c r="C415" s="333">
        <f t="shared" ref="C415:I415" si="251">ROUND((C413+C412)/24,0)</f>
        <v>0</v>
      </c>
      <c r="D415" s="391">
        <f t="shared" si="251"/>
        <v>0</v>
      </c>
      <c r="E415" s="391">
        <f t="shared" si="251"/>
        <v>0</v>
      </c>
      <c r="F415" s="391">
        <f t="shared" si="251"/>
        <v>0</v>
      </c>
      <c r="G415" s="391">
        <f t="shared" si="251"/>
        <v>0</v>
      </c>
      <c r="H415" s="391">
        <f t="shared" si="251"/>
        <v>0</v>
      </c>
      <c r="I415" s="391">
        <f t="shared" si="251"/>
        <v>0</v>
      </c>
    </row>
    <row r="416" spans="1:9" hidden="1">
      <c r="A416" s="317"/>
      <c r="B416" s="317"/>
      <c r="C416" s="317"/>
      <c r="D416" s="345"/>
      <c r="E416" s="345"/>
      <c r="F416" s="345"/>
      <c r="G416" s="345"/>
      <c r="H416" s="345"/>
      <c r="I416" s="345"/>
    </row>
    <row r="417" spans="1:9" hidden="1">
      <c r="A417" s="339" t="s">
        <v>168</v>
      </c>
      <c r="B417" s="316" t="str">
        <f>+B240</f>
        <v>Red Chilli</v>
      </c>
      <c r="C417" s="333"/>
      <c r="D417" s="391"/>
      <c r="E417" s="391"/>
      <c r="F417" s="391"/>
      <c r="G417" s="391"/>
      <c r="H417" s="345"/>
      <c r="I417" s="345"/>
    </row>
    <row r="418" spans="1:9" hidden="1">
      <c r="A418" s="344"/>
      <c r="B418" s="333" t="s">
        <v>661</v>
      </c>
      <c r="C418" s="333">
        <f>0</f>
        <v>0</v>
      </c>
      <c r="D418" s="391">
        <f t="shared" ref="D418:I418" si="252">C421</f>
        <v>0</v>
      </c>
      <c r="E418" s="391">
        <f t="shared" si="252"/>
        <v>0</v>
      </c>
      <c r="F418" s="391">
        <f t="shared" si="252"/>
        <v>0</v>
      </c>
      <c r="G418" s="391">
        <f t="shared" si="252"/>
        <v>0</v>
      </c>
      <c r="H418" s="391">
        <f t="shared" si="252"/>
        <v>0</v>
      </c>
      <c r="I418" s="391">
        <f t="shared" si="252"/>
        <v>0</v>
      </c>
    </row>
    <row r="419" spans="1:9" hidden="1">
      <c r="A419" s="344"/>
      <c r="B419" s="333" t="s">
        <v>662</v>
      </c>
      <c r="C419" s="334">
        <f t="shared" ref="C419:I419" si="253">+B107</f>
        <v>0</v>
      </c>
      <c r="D419" s="391">
        <f t="shared" si="253"/>
        <v>0</v>
      </c>
      <c r="E419" s="391">
        <f t="shared" si="253"/>
        <v>0</v>
      </c>
      <c r="F419" s="391">
        <f t="shared" si="253"/>
        <v>0</v>
      </c>
      <c r="G419" s="391">
        <f t="shared" si="253"/>
        <v>0</v>
      </c>
      <c r="H419" s="391">
        <f t="shared" si="253"/>
        <v>0</v>
      </c>
      <c r="I419" s="391">
        <f t="shared" si="253"/>
        <v>0</v>
      </c>
    </row>
    <row r="420" spans="1:9" hidden="1">
      <c r="A420" s="344"/>
      <c r="B420" s="333" t="s">
        <v>663</v>
      </c>
      <c r="C420" s="333">
        <f t="shared" ref="C420:I420" si="254">C418+C419-C421</f>
        <v>0</v>
      </c>
      <c r="D420" s="391">
        <f t="shared" si="254"/>
        <v>0</v>
      </c>
      <c r="E420" s="391">
        <f t="shared" si="254"/>
        <v>0</v>
      </c>
      <c r="F420" s="391">
        <f t="shared" si="254"/>
        <v>0</v>
      </c>
      <c r="G420" s="391">
        <f t="shared" si="254"/>
        <v>0</v>
      </c>
      <c r="H420" s="391">
        <f t="shared" si="254"/>
        <v>0</v>
      </c>
      <c r="I420" s="391">
        <f t="shared" si="254"/>
        <v>0</v>
      </c>
    </row>
    <row r="421" spans="1:9" hidden="1">
      <c r="A421" s="344"/>
      <c r="B421" s="333" t="s">
        <v>333</v>
      </c>
      <c r="C421" s="333">
        <v>0</v>
      </c>
      <c r="D421" s="391">
        <v>0</v>
      </c>
      <c r="E421" s="391">
        <v>0</v>
      </c>
      <c r="F421" s="391">
        <v>0</v>
      </c>
      <c r="G421" s="391">
        <v>0</v>
      </c>
      <c r="H421" s="391">
        <v>0</v>
      </c>
      <c r="I421" s="391">
        <v>0</v>
      </c>
    </row>
    <row r="422" spans="1:9" hidden="1">
      <c r="A422" s="317"/>
      <c r="B422" s="317"/>
      <c r="C422" s="317"/>
      <c r="D422" s="345"/>
      <c r="E422" s="345"/>
      <c r="F422" s="345"/>
      <c r="G422" s="345"/>
      <c r="H422" s="345"/>
      <c r="I422" s="345"/>
    </row>
    <row r="423" spans="1:9" hidden="1">
      <c r="A423" s="317"/>
      <c r="B423" s="316" t="s">
        <v>664</v>
      </c>
      <c r="C423" s="333"/>
      <c r="D423" s="345"/>
      <c r="E423" s="345"/>
      <c r="F423" s="345"/>
      <c r="G423" s="345"/>
      <c r="H423" s="345"/>
      <c r="I423" s="345"/>
    </row>
    <row r="424" spans="1:9" hidden="1">
      <c r="A424" s="344" t="s">
        <v>167</v>
      </c>
      <c r="B424" s="329" t="str">
        <f>+B411</f>
        <v>Green Chilli</v>
      </c>
      <c r="C424" s="592">
        <f>+'Input Sheet'!C113</f>
        <v>0</v>
      </c>
      <c r="D424" s="592">
        <f>+'Input Sheet'!D113</f>
        <v>0</v>
      </c>
      <c r="E424" s="592">
        <f>+'Input Sheet'!E113</f>
        <v>0</v>
      </c>
      <c r="F424" s="592">
        <f>+'Input Sheet'!F113</f>
        <v>0</v>
      </c>
      <c r="G424" s="592">
        <f>+'Input Sheet'!G113</f>
        <v>0</v>
      </c>
      <c r="H424" s="592">
        <f>+'Input Sheet'!H113</f>
        <v>0</v>
      </c>
      <c r="I424" s="592">
        <f>+'Input Sheet'!I113</f>
        <v>0</v>
      </c>
    </row>
    <row r="425" spans="1:9" hidden="1">
      <c r="A425" s="344" t="s">
        <v>168</v>
      </c>
      <c r="B425" s="329" t="str">
        <f>+B417</f>
        <v>Red Chilli</v>
      </c>
      <c r="C425" s="592">
        <f>+'Input Sheet'!C114</f>
        <v>0</v>
      </c>
      <c r="D425" s="592">
        <f>+'Input Sheet'!D114</f>
        <v>0</v>
      </c>
      <c r="E425" s="592">
        <f>+'Input Sheet'!E114</f>
        <v>0</v>
      </c>
      <c r="F425" s="592">
        <f>+'Input Sheet'!F114</f>
        <v>0</v>
      </c>
      <c r="G425" s="592">
        <f>+'Input Sheet'!G114</f>
        <v>0</v>
      </c>
      <c r="H425" s="592">
        <f>+'Input Sheet'!H114</f>
        <v>0</v>
      </c>
      <c r="I425" s="592">
        <f>+'Input Sheet'!I114</f>
        <v>0</v>
      </c>
    </row>
    <row r="426" spans="1:9" hidden="1">
      <c r="A426" s="317"/>
      <c r="B426" s="317"/>
      <c r="C426" s="317"/>
      <c r="D426" s="345"/>
      <c r="E426" s="345"/>
      <c r="F426" s="345"/>
      <c r="G426" s="345"/>
      <c r="H426" s="345"/>
      <c r="I426" s="345"/>
    </row>
    <row r="427" spans="1:9" hidden="1">
      <c r="A427" s="318" t="s">
        <v>167</v>
      </c>
      <c r="B427" s="318" t="str">
        <f>B424</f>
        <v>Green Chilli</v>
      </c>
      <c r="C427" s="317"/>
      <c r="D427" s="345"/>
      <c r="E427" s="345"/>
      <c r="F427" s="345"/>
      <c r="G427" s="345"/>
      <c r="H427" s="345"/>
      <c r="I427" s="345"/>
    </row>
    <row r="428" spans="1:9" hidden="1">
      <c r="A428" s="317"/>
      <c r="B428" s="333" t="s">
        <v>665</v>
      </c>
      <c r="C428" s="340">
        <v>0</v>
      </c>
      <c r="D428" s="430">
        <f t="shared" ref="D428:I428" si="255">C429</f>
        <v>0</v>
      </c>
      <c r="E428" s="430">
        <f t="shared" si="255"/>
        <v>0</v>
      </c>
      <c r="F428" s="430">
        <f t="shared" si="255"/>
        <v>0</v>
      </c>
      <c r="G428" s="430">
        <f t="shared" si="255"/>
        <v>0</v>
      </c>
      <c r="H428" s="430">
        <f t="shared" si="255"/>
        <v>0</v>
      </c>
      <c r="I428" s="430">
        <f t="shared" si="255"/>
        <v>0</v>
      </c>
    </row>
    <row r="429" spans="1:9" hidden="1">
      <c r="A429" s="317"/>
      <c r="B429" s="333" t="s">
        <v>666</v>
      </c>
      <c r="C429" s="340">
        <f t="shared" ref="C429:I429" si="256">C415*C424/100000</f>
        <v>0</v>
      </c>
      <c r="D429" s="430">
        <f t="shared" si="256"/>
        <v>0</v>
      </c>
      <c r="E429" s="430">
        <f t="shared" si="256"/>
        <v>0</v>
      </c>
      <c r="F429" s="430">
        <f t="shared" si="256"/>
        <v>0</v>
      </c>
      <c r="G429" s="430">
        <f t="shared" si="256"/>
        <v>0</v>
      </c>
      <c r="H429" s="430">
        <f t="shared" si="256"/>
        <v>0</v>
      </c>
      <c r="I429" s="430">
        <f t="shared" si="256"/>
        <v>0</v>
      </c>
    </row>
    <row r="430" spans="1:9" hidden="1">
      <c r="A430" s="317"/>
      <c r="B430" s="317"/>
      <c r="C430" s="317"/>
      <c r="D430" s="345"/>
      <c r="E430" s="345"/>
      <c r="F430" s="345"/>
      <c r="G430" s="345"/>
      <c r="H430" s="345"/>
      <c r="I430" s="345"/>
    </row>
    <row r="431" spans="1:9" hidden="1">
      <c r="A431" s="318" t="s">
        <v>167</v>
      </c>
      <c r="B431" s="318" t="str">
        <f>+B425</f>
        <v>Red Chilli</v>
      </c>
      <c r="C431" s="317"/>
      <c r="D431" s="345"/>
      <c r="E431" s="345"/>
      <c r="F431" s="345"/>
      <c r="G431" s="345"/>
      <c r="H431" s="345"/>
      <c r="I431" s="345"/>
    </row>
    <row r="432" spans="1:9" hidden="1">
      <c r="A432" s="317"/>
      <c r="B432" s="333" t="s">
        <v>665</v>
      </c>
      <c r="C432" s="340">
        <v>0</v>
      </c>
      <c r="D432" s="430">
        <f t="shared" ref="D432:I432" si="257">C433</f>
        <v>0</v>
      </c>
      <c r="E432" s="430">
        <f t="shared" si="257"/>
        <v>0</v>
      </c>
      <c r="F432" s="430">
        <f t="shared" si="257"/>
        <v>0</v>
      </c>
      <c r="G432" s="430">
        <f t="shared" si="257"/>
        <v>0</v>
      </c>
      <c r="H432" s="430">
        <f t="shared" si="257"/>
        <v>0</v>
      </c>
      <c r="I432" s="430">
        <f t="shared" si="257"/>
        <v>0</v>
      </c>
    </row>
    <row r="433" spans="1:10" hidden="1">
      <c r="A433" s="317"/>
      <c r="B433" s="333" t="s">
        <v>666</v>
      </c>
      <c r="C433" s="340">
        <f t="shared" ref="C433:I433" si="258">C421*C425/100000</f>
        <v>0</v>
      </c>
      <c r="D433" s="430">
        <f t="shared" si="258"/>
        <v>0</v>
      </c>
      <c r="E433" s="430">
        <f t="shared" si="258"/>
        <v>0</v>
      </c>
      <c r="F433" s="430">
        <f t="shared" si="258"/>
        <v>0</v>
      </c>
      <c r="G433" s="430">
        <f t="shared" si="258"/>
        <v>0</v>
      </c>
      <c r="H433" s="430">
        <f t="shared" si="258"/>
        <v>0</v>
      </c>
      <c r="I433" s="430">
        <f t="shared" si="258"/>
        <v>0</v>
      </c>
    </row>
    <row r="434" spans="1:10" hidden="1">
      <c r="A434" s="317"/>
      <c r="B434" s="333"/>
      <c r="C434" s="340"/>
      <c r="D434" s="430"/>
      <c r="E434" s="430"/>
      <c r="F434" s="430"/>
      <c r="G434" s="430"/>
      <c r="H434" s="430"/>
      <c r="I434" s="430"/>
    </row>
    <row r="435" spans="1:10" hidden="1">
      <c r="A435" s="317"/>
      <c r="B435" s="317"/>
      <c r="C435" s="317"/>
      <c r="D435" s="345"/>
      <c r="E435" s="345"/>
      <c r="F435" s="345"/>
      <c r="G435" s="345"/>
      <c r="H435" s="345"/>
      <c r="I435" s="345"/>
    </row>
    <row r="436" spans="1:10">
      <c r="A436" s="317"/>
      <c r="B436" s="318" t="s">
        <v>667</v>
      </c>
      <c r="C436" s="317"/>
      <c r="D436" s="345"/>
      <c r="E436" s="345"/>
      <c r="F436" s="345"/>
      <c r="G436" s="345"/>
      <c r="H436" s="345"/>
      <c r="I436" s="345"/>
    </row>
    <row r="437" spans="1:10">
      <c r="A437" s="317"/>
      <c r="B437" s="316" t="s">
        <v>665</v>
      </c>
      <c r="C437" s="341">
        <f>C274+C278+C282+C308+C312+C333+C399+C403+C407+C428</f>
        <v>0</v>
      </c>
      <c r="D437" s="431">
        <f>+C438</f>
        <v>7.629999999999999</v>
      </c>
      <c r="E437" s="431">
        <f t="shared" ref="E437:I437" si="259">+D438</f>
        <v>8.9250000000000007</v>
      </c>
      <c r="F437" s="431">
        <f t="shared" si="259"/>
        <v>10.010725000000001</v>
      </c>
      <c r="G437" s="431">
        <f t="shared" si="259"/>
        <v>11.367883750000001</v>
      </c>
      <c r="H437" s="431">
        <f t="shared" si="259"/>
        <v>12.641231562500002</v>
      </c>
      <c r="I437" s="431">
        <f t="shared" si="259"/>
        <v>14.217696496875003</v>
      </c>
    </row>
    <row r="438" spans="1:10">
      <c r="A438" s="317"/>
      <c r="B438" s="316" t="s">
        <v>666</v>
      </c>
      <c r="C438" s="341">
        <f>+C369+C353+C334</f>
        <v>7.629999999999999</v>
      </c>
      <c r="D438" s="341">
        <f t="shared" ref="D438:I438" si="260">+D369+D353+D334</f>
        <v>8.9250000000000007</v>
      </c>
      <c r="E438" s="341">
        <f t="shared" si="260"/>
        <v>10.010725000000001</v>
      </c>
      <c r="F438" s="341">
        <f t="shared" si="260"/>
        <v>11.367883750000001</v>
      </c>
      <c r="G438" s="341">
        <f t="shared" si="260"/>
        <v>12.641231562500002</v>
      </c>
      <c r="H438" s="341">
        <f t="shared" si="260"/>
        <v>14.217696496875003</v>
      </c>
      <c r="I438" s="341">
        <f t="shared" si="260"/>
        <v>17.514791793281251</v>
      </c>
    </row>
    <row r="442" spans="1:10" ht="27" hidden="1">
      <c r="A442" s="551" t="s">
        <v>670</v>
      </c>
      <c r="B442" s="551"/>
      <c r="C442" s="551"/>
      <c r="D442" s="551"/>
      <c r="E442" s="551"/>
      <c r="F442" s="551"/>
      <c r="G442" s="552"/>
      <c r="H442" s="552"/>
    </row>
    <row r="443" spans="1:10" ht="15.75" hidden="1">
      <c r="A443" s="347"/>
      <c r="B443" s="347"/>
      <c r="C443" s="348"/>
      <c r="D443" s="433"/>
      <c r="E443" s="433"/>
      <c r="F443" s="433"/>
      <c r="G443" s="433"/>
      <c r="H443" s="433"/>
    </row>
    <row r="444" spans="1:10" hidden="1">
      <c r="A444" s="329" t="s">
        <v>671</v>
      </c>
      <c r="B444" s="594">
        <f>+'Input Sheet'!C128</f>
        <v>0</v>
      </c>
      <c r="C444" s="350"/>
      <c r="D444" s="434"/>
      <c r="E444" s="434"/>
      <c r="F444" s="434"/>
      <c r="G444" s="434"/>
      <c r="H444" s="434"/>
      <c r="J444" s="366">
        <v>6</v>
      </c>
    </row>
    <row r="445" spans="1:10" hidden="1">
      <c r="A445" s="351" t="s">
        <v>672</v>
      </c>
      <c r="B445" s="594">
        <f>+'Input Sheet'!C129</f>
        <v>15</v>
      </c>
      <c r="C445" s="350"/>
      <c r="D445" s="434"/>
      <c r="E445" s="434"/>
      <c r="F445" s="434"/>
      <c r="G445" s="434"/>
      <c r="H445" s="434"/>
    </row>
    <row r="446" spans="1:10" hidden="1">
      <c r="A446" s="351" t="s">
        <v>673</v>
      </c>
      <c r="B446" s="594">
        <f>+'Input Sheet'!C130</f>
        <v>12</v>
      </c>
      <c r="C446" s="350"/>
      <c r="D446" s="434"/>
      <c r="E446" s="434"/>
      <c r="F446" s="434"/>
      <c r="G446" s="434"/>
      <c r="H446" s="434"/>
    </row>
    <row r="447" spans="1:10" hidden="1">
      <c r="A447" s="351" t="s">
        <v>674</v>
      </c>
      <c r="B447" s="349">
        <f>B444*B446*30/B445</f>
        <v>0</v>
      </c>
      <c r="C447" s="350"/>
      <c r="D447" s="434"/>
      <c r="E447" s="434"/>
      <c r="F447" s="434"/>
      <c r="G447" s="434"/>
      <c r="H447" s="434"/>
    </row>
    <row r="448" spans="1:10" hidden="1">
      <c r="A448" s="351" t="s">
        <v>681</v>
      </c>
      <c r="B448" s="595">
        <f>+'Input Sheet'!C131</f>
        <v>0</v>
      </c>
      <c r="C448" s="350"/>
      <c r="D448" s="434"/>
      <c r="E448" s="434"/>
      <c r="F448" s="434"/>
      <c r="G448" s="434"/>
      <c r="H448" s="434"/>
    </row>
    <row r="449" spans="1:8" ht="30" hidden="1">
      <c r="A449" s="615" t="s">
        <v>860</v>
      </c>
      <c r="B449" s="353">
        <f>+B447*B448*10/100000</f>
        <v>0</v>
      </c>
      <c r="C449" s="350"/>
      <c r="D449" s="434"/>
      <c r="E449" s="434"/>
      <c r="F449" s="434"/>
      <c r="G449" s="434"/>
      <c r="H449" s="434"/>
    </row>
    <row r="450" spans="1:8" hidden="1">
      <c r="A450" s="351"/>
      <c r="B450" s="596"/>
      <c r="C450" s="597"/>
      <c r="D450" s="434"/>
      <c r="E450" s="434"/>
      <c r="F450" s="434"/>
      <c r="G450" s="434"/>
      <c r="H450" s="434"/>
    </row>
    <row r="451" spans="1:8" hidden="1">
      <c r="A451" s="351"/>
      <c r="B451" s="351"/>
      <c r="C451" s="354"/>
      <c r="D451" s="435"/>
      <c r="E451" s="435"/>
      <c r="F451" s="435"/>
      <c r="G451" s="435"/>
      <c r="H451" s="435"/>
    </row>
    <row r="452" spans="1:8" hidden="1">
      <c r="A452" s="123" t="s">
        <v>0</v>
      </c>
      <c r="B452" s="123" t="s">
        <v>2</v>
      </c>
      <c r="C452" s="123" t="s">
        <v>3</v>
      </c>
      <c r="D452" s="123" t="s">
        <v>4</v>
      </c>
      <c r="E452" s="123" t="s">
        <v>5</v>
      </c>
      <c r="F452" s="123" t="s">
        <v>6</v>
      </c>
      <c r="G452" s="123" t="s">
        <v>163</v>
      </c>
      <c r="H452" s="123" t="s">
        <v>162</v>
      </c>
    </row>
    <row r="453" spans="1:8" hidden="1">
      <c r="A453" s="355" t="s">
        <v>675</v>
      </c>
      <c r="B453" s="356"/>
      <c r="C453" s="356"/>
      <c r="D453" s="436"/>
      <c r="E453" s="436"/>
      <c r="F453" s="436"/>
      <c r="G453" s="436"/>
      <c r="H453" s="436"/>
    </row>
    <row r="454" spans="1:8" hidden="1">
      <c r="A454" s="357" t="s">
        <v>676</v>
      </c>
      <c r="B454" s="356">
        <f>+$B$449</f>
        <v>0</v>
      </c>
      <c r="C454" s="356">
        <f>+B454</f>
        <v>0</v>
      </c>
      <c r="D454" s="356">
        <f t="shared" ref="D454:H454" si="261">+C454</f>
        <v>0</v>
      </c>
      <c r="E454" s="356">
        <f t="shared" si="261"/>
        <v>0</v>
      </c>
      <c r="F454" s="356">
        <f t="shared" si="261"/>
        <v>0</v>
      </c>
      <c r="G454" s="356">
        <f t="shared" si="261"/>
        <v>0</v>
      </c>
      <c r="H454" s="356">
        <f t="shared" si="261"/>
        <v>0</v>
      </c>
    </row>
    <row r="455" spans="1:8" hidden="1">
      <c r="A455" s="357" t="s">
        <v>291</v>
      </c>
      <c r="B455" s="358">
        <f>+'Input Sheet'!C133</f>
        <v>0.7</v>
      </c>
      <c r="C455" s="358">
        <f>+'Input Sheet'!D133</f>
        <v>0.7</v>
      </c>
      <c r="D455" s="358">
        <f>+'Input Sheet'!E133</f>
        <v>0.75</v>
      </c>
      <c r="E455" s="358">
        <f>+'Input Sheet'!F133</f>
        <v>0.8</v>
      </c>
      <c r="F455" s="358">
        <f>+'Input Sheet'!G133</f>
        <v>0.85000000000000009</v>
      </c>
      <c r="G455" s="358">
        <f>+'Input Sheet'!H133</f>
        <v>0.90000000000000013</v>
      </c>
      <c r="H455" s="358">
        <f>+'Input Sheet'!I133</f>
        <v>0.90000000000000013</v>
      </c>
    </row>
    <row r="456" spans="1:8" hidden="1">
      <c r="A456" s="357" t="s">
        <v>677</v>
      </c>
      <c r="B456" s="359">
        <f t="shared" ref="B456:H456" si="262">+$B$447*B455</f>
        <v>0</v>
      </c>
      <c r="C456" s="359">
        <f t="shared" si="262"/>
        <v>0</v>
      </c>
      <c r="D456" s="438">
        <f t="shared" si="262"/>
        <v>0</v>
      </c>
      <c r="E456" s="438">
        <f t="shared" si="262"/>
        <v>0</v>
      </c>
      <c r="F456" s="438">
        <f t="shared" si="262"/>
        <v>0</v>
      </c>
      <c r="G456" s="438">
        <f t="shared" si="262"/>
        <v>0</v>
      </c>
      <c r="H456" s="438">
        <f t="shared" si="262"/>
        <v>0</v>
      </c>
    </row>
    <row r="457" spans="1:8" hidden="1">
      <c r="A457" s="357" t="s">
        <v>678</v>
      </c>
      <c r="B457" s="359">
        <f t="shared" ref="B457:H457" si="263">+B76+B81+B86+B101+B106</f>
        <v>33</v>
      </c>
      <c r="C457" s="359">
        <f t="shared" si="263"/>
        <v>36</v>
      </c>
      <c r="D457" s="438">
        <f t="shared" si="263"/>
        <v>39</v>
      </c>
      <c r="E457" s="438">
        <f t="shared" si="263"/>
        <v>43</v>
      </c>
      <c r="F457" s="438">
        <f t="shared" si="263"/>
        <v>46</v>
      </c>
      <c r="G457" s="438">
        <f t="shared" si="263"/>
        <v>49</v>
      </c>
      <c r="H457" s="438">
        <f t="shared" si="263"/>
        <v>51</v>
      </c>
    </row>
    <row r="458" spans="1:8" hidden="1">
      <c r="A458" s="357" t="s">
        <v>679</v>
      </c>
      <c r="B458" s="359">
        <f t="shared" ref="B458:H458" si="264">+B456-B457</f>
        <v>-33</v>
      </c>
      <c r="C458" s="359">
        <f t="shared" si="264"/>
        <v>-36</v>
      </c>
      <c r="D458" s="438">
        <f t="shared" si="264"/>
        <v>-39</v>
      </c>
      <c r="E458" s="438">
        <f t="shared" si="264"/>
        <v>-43</v>
      </c>
      <c r="F458" s="438">
        <f t="shared" si="264"/>
        <v>-46</v>
      </c>
      <c r="G458" s="438">
        <f t="shared" si="264"/>
        <v>-49</v>
      </c>
      <c r="H458" s="438">
        <f t="shared" si="264"/>
        <v>-51</v>
      </c>
    </row>
    <row r="459" spans="1:8" hidden="1">
      <c r="A459" s="357"/>
      <c r="B459" s="358"/>
      <c r="C459" s="358"/>
      <c r="D459" s="437"/>
      <c r="E459" s="437"/>
      <c r="F459" s="437"/>
      <c r="G459" s="437"/>
      <c r="H459" s="437"/>
    </row>
    <row r="460" spans="1:8" hidden="1">
      <c r="A460" s="360" t="s">
        <v>680</v>
      </c>
      <c r="B460" s="361" t="e">
        <f t="shared" ref="B460:H460" si="265">+B454*B458/$B$447</f>
        <v>#DIV/0!</v>
      </c>
      <c r="C460" s="361" t="e">
        <f t="shared" si="265"/>
        <v>#DIV/0!</v>
      </c>
      <c r="D460" s="361" t="e">
        <f t="shared" si="265"/>
        <v>#DIV/0!</v>
      </c>
      <c r="E460" s="361" t="e">
        <f t="shared" si="265"/>
        <v>#DIV/0!</v>
      </c>
      <c r="F460" s="361" t="e">
        <f t="shared" si="265"/>
        <v>#DIV/0!</v>
      </c>
      <c r="G460" s="361" t="e">
        <f t="shared" si="265"/>
        <v>#DIV/0!</v>
      </c>
      <c r="H460" s="361" t="e">
        <f t="shared" si="265"/>
        <v>#DIV/0!</v>
      </c>
    </row>
    <row r="461" spans="1:8" hidden="1">
      <c r="A461" s="357"/>
      <c r="B461" s="361"/>
      <c r="C461" s="361"/>
      <c r="D461" s="421"/>
      <c r="E461" s="421"/>
      <c r="F461" s="421"/>
      <c r="G461" s="421"/>
      <c r="H461" s="421"/>
    </row>
    <row r="462" spans="1:8" hidden="1">
      <c r="A462" s="355" t="s">
        <v>8</v>
      </c>
      <c r="B462" s="332" t="e">
        <f t="shared" ref="B462:H462" si="266">SUM(B460:B461)</f>
        <v>#DIV/0!</v>
      </c>
      <c r="C462" s="332" t="e">
        <f t="shared" si="266"/>
        <v>#DIV/0!</v>
      </c>
      <c r="D462" s="422" t="e">
        <f t="shared" si="266"/>
        <v>#DIV/0!</v>
      </c>
      <c r="E462" s="422" t="e">
        <f t="shared" si="266"/>
        <v>#DIV/0!</v>
      </c>
      <c r="F462" s="422" t="e">
        <f t="shared" si="266"/>
        <v>#DIV/0!</v>
      </c>
      <c r="G462" s="422" t="e">
        <f t="shared" si="266"/>
        <v>#DIV/0!</v>
      </c>
      <c r="H462" s="422" t="e">
        <f t="shared" si="266"/>
        <v>#DIV/0!</v>
      </c>
    </row>
    <row r="466" spans="1:11" ht="28.5">
      <c r="A466" s="553" t="s">
        <v>735</v>
      </c>
    </row>
    <row r="467" spans="1:11">
      <c r="A467" s="554" t="s">
        <v>0</v>
      </c>
      <c r="B467" s="555" t="s">
        <v>2</v>
      </c>
      <c r="C467" s="555" t="s">
        <v>3</v>
      </c>
      <c r="D467" s="556" t="s">
        <v>4</v>
      </c>
      <c r="E467" s="556" t="s">
        <v>5</v>
      </c>
      <c r="F467" s="556" t="s">
        <v>6</v>
      </c>
      <c r="G467" s="556" t="s">
        <v>163</v>
      </c>
      <c r="H467" s="556" t="s">
        <v>162</v>
      </c>
      <c r="I467" s="557"/>
      <c r="J467" s="439">
        <v>2</v>
      </c>
      <c r="K467" s="404"/>
    </row>
    <row r="468" spans="1:11">
      <c r="A468" s="316"/>
      <c r="B468" s="327"/>
      <c r="C468" s="327"/>
      <c r="D468" s="419"/>
      <c r="E468" s="419"/>
      <c r="F468" s="419"/>
      <c r="G468" s="419"/>
      <c r="H468" s="419"/>
      <c r="I468" s="440"/>
      <c r="J468" s="440"/>
      <c r="K468" s="254"/>
    </row>
    <row r="469" spans="1:11">
      <c r="A469" s="333" t="str">
        <f>+A513</f>
        <v>Flax Seed</v>
      </c>
      <c r="B469" s="334">
        <f t="shared" ref="B469:H469" si="267">+B515</f>
        <v>27.368421052631579</v>
      </c>
      <c r="C469" s="334">
        <f t="shared" si="267"/>
        <v>30.526315789473685</v>
      </c>
      <c r="D469" s="391">
        <f t="shared" si="267"/>
        <v>32.631578947368425</v>
      </c>
      <c r="E469" s="391">
        <f t="shared" si="267"/>
        <v>35.789473684210527</v>
      </c>
      <c r="F469" s="391">
        <f t="shared" si="267"/>
        <v>37.894736842105267</v>
      </c>
      <c r="G469" s="391">
        <f t="shared" si="267"/>
        <v>40</v>
      </c>
      <c r="H469" s="391">
        <f t="shared" si="267"/>
        <v>43.15789473684211</v>
      </c>
      <c r="I469" s="441"/>
      <c r="J469" s="441"/>
      <c r="K469" s="405"/>
    </row>
    <row r="470" spans="1:11">
      <c r="A470" s="333" t="s">
        <v>732</v>
      </c>
      <c r="B470" s="340">
        <f t="shared" ref="B470:H470" si="268">+B520</f>
        <v>70000</v>
      </c>
      <c r="C470" s="340">
        <f t="shared" si="268"/>
        <v>73500</v>
      </c>
      <c r="D470" s="430">
        <f t="shared" si="268"/>
        <v>77180</v>
      </c>
      <c r="E470" s="430">
        <f t="shared" si="268"/>
        <v>81040</v>
      </c>
      <c r="F470" s="430">
        <f t="shared" si="268"/>
        <v>85090</v>
      </c>
      <c r="G470" s="430">
        <f t="shared" si="268"/>
        <v>89340</v>
      </c>
      <c r="H470" s="430">
        <f t="shared" si="268"/>
        <v>93810</v>
      </c>
      <c r="I470" s="442"/>
      <c r="J470" s="442"/>
      <c r="K470" s="406"/>
    </row>
    <row r="471" spans="1:11">
      <c r="A471" s="333"/>
      <c r="B471" s="340"/>
      <c r="C471" s="340"/>
      <c r="D471" s="430"/>
      <c r="E471" s="430"/>
      <c r="F471" s="430"/>
      <c r="G471" s="430"/>
      <c r="H471" s="430"/>
      <c r="I471" s="442"/>
      <c r="J471" s="442"/>
      <c r="K471" s="406"/>
    </row>
    <row r="472" spans="1:11">
      <c r="A472" s="333" t="s">
        <v>733</v>
      </c>
      <c r="B472" s="340">
        <f t="shared" ref="B472:H472" si="269">+ROUND(B469*B470/100000,2)</f>
        <v>19.16</v>
      </c>
      <c r="C472" s="340">
        <f t="shared" si="269"/>
        <v>22.44</v>
      </c>
      <c r="D472" s="430">
        <f t="shared" si="269"/>
        <v>25.19</v>
      </c>
      <c r="E472" s="430">
        <f t="shared" si="269"/>
        <v>29</v>
      </c>
      <c r="F472" s="430">
        <f t="shared" si="269"/>
        <v>32.24</v>
      </c>
      <c r="G472" s="430">
        <f t="shared" si="269"/>
        <v>35.74</v>
      </c>
      <c r="H472" s="430">
        <f t="shared" si="269"/>
        <v>40.49</v>
      </c>
      <c r="I472" s="442"/>
      <c r="J472" s="442"/>
      <c r="K472" s="406"/>
    </row>
    <row r="473" spans="1:11">
      <c r="A473" s="333"/>
      <c r="B473" s="340"/>
      <c r="C473" s="340"/>
      <c r="D473" s="430"/>
      <c r="E473" s="430"/>
      <c r="F473" s="430"/>
      <c r="G473" s="430"/>
      <c r="H473" s="430"/>
      <c r="I473" s="442"/>
      <c r="J473" s="442"/>
      <c r="K473" s="406"/>
    </row>
    <row r="474" spans="1:11">
      <c r="A474" s="333" t="str">
        <f>+A526</f>
        <v>safflower</v>
      </c>
      <c r="B474" s="334">
        <f t="shared" ref="B474:H474" si="270">+B528</f>
        <v>13.684210526315789</v>
      </c>
      <c r="C474" s="334">
        <f t="shared" si="270"/>
        <v>14.736842105263159</v>
      </c>
      <c r="D474" s="391">
        <f t="shared" si="270"/>
        <v>16.842105263157894</v>
      </c>
      <c r="E474" s="391">
        <f t="shared" si="270"/>
        <v>17.894736842105264</v>
      </c>
      <c r="F474" s="391">
        <f t="shared" si="270"/>
        <v>18.947368421052634</v>
      </c>
      <c r="G474" s="391">
        <f t="shared" si="270"/>
        <v>20</v>
      </c>
      <c r="H474" s="391">
        <f t="shared" si="270"/>
        <v>21.05263157894737</v>
      </c>
      <c r="I474" s="441"/>
      <c r="J474" s="441"/>
      <c r="K474" s="407"/>
    </row>
    <row r="475" spans="1:11">
      <c r="A475" s="333" t="s">
        <v>732</v>
      </c>
      <c r="B475" s="340">
        <f t="shared" ref="B475:H475" si="271">+B533</f>
        <v>80000</v>
      </c>
      <c r="C475" s="340">
        <f t="shared" si="271"/>
        <v>84000</v>
      </c>
      <c r="D475" s="430">
        <f t="shared" si="271"/>
        <v>88200</v>
      </c>
      <c r="E475" s="430">
        <f t="shared" si="271"/>
        <v>92610</v>
      </c>
      <c r="F475" s="430">
        <f t="shared" si="271"/>
        <v>97240</v>
      </c>
      <c r="G475" s="430">
        <f t="shared" si="271"/>
        <v>102100</v>
      </c>
      <c r="H475" s="430">
        <f t="shared" si="271"/>
        <v>107210</v>
      </c>
      <c r="I475" s="442"/>
      <c r="J475" s="442"/>
      <c r="K475" s="406"/>
    </row>
    <row r="476" spans="1:11">
      <c r="A476" s="333"/>
      <c r="B476" s="340"/>
      <c r="C476" s="340"/>
      <c r="D476" s="430"/>
      <c r="E476" s="430"/>
      <c r="F476" s="430"/>
      <c r="G476" s="430"/>
      <c r="H476" s="430"/>
      <c r="I476" s="442"/>
      <c r="J476" s="442"/>
      <c r="K476" s="406"/>
    </row>
    <row r="477" spans="1:11">
      <c r="A477" s="333" t="s">
        <v>733</v>
      </c>
      <c r="B477" s="340">
        <f t="shared" ref="B477:H477" si="272">+ROUND(B474*B475/100000,2)</f>
        <v>10.95</v>
      </c>
      <c r="C477" s="340">
        <f t="shared" si="272"/>
        <v>12.38</v>
      </c>
      <c r="D477" s="430">
        <f t="shared" si="272"/>
        <v>14.85</v>
      </c>
      <c r="E477" s="430">
        <f t="shared" si="272"/>
        <v>16.57</v>
      </c>
      <c r="F477" s="430">
        <f t="shared" si="272"/>
        <v>18.420000000000002</v>
      </c>
      <c r="G477" s="430">
        <f t="shared" si="272"/>
        <v>20.420000000000002</v>
      </c>
      <c r="H477" s="430">
        <f t="shared" si="272"/>
        <v>22.57</v>
      </c>
      <c r="I477" s="442"/>
      <c r="J477" s="442"/>
      <c r="K477" s="406"/>
    </row>
    <row r="478" spans="1:11">
      <c r="A478" s="333"/>
      <c r="B478" s="340"/>
      <c r="C478" s="340"/>
      <c r="D478" s="430"/>
      <c r="E478" s="430"/>
      <c r="F478" s="430"/>
      <c r="G478" s="430"/>
      <c r="H478" s="430"/>
      <c r="I478" s="442"/>
      <c r="J478" s="442"/>
      <c r="K478" s="406"/>
    </row>
    <row r="479" spans="1:11">
      <c r="A479" s="333" t="str">
        <f>+A538</f>
        <v>Mustered</v>
      </c>
      <c r="B479" s="334">
        <f t="shared" ref="B479:H479" si="273">+B540</f>
        <v>97.842105263157904</v>
      </c>
      <c r="C479" s="334">
        <f t="shared" si="273"/>
        <v>106.31578947368422</v>
      </c>
      <c r="D479" s="391">
        <f t="shared" si="273"/>
        <v>114.73684210526316</v>
      </c>
      <c r="E479" s="391">
        <f t="shared" si="273"/>
        <v>124.21052631578948</v>
      </c>
      <c r="F479" s="391">
        <f t="shared" si="273"/>
        <v>132.63157894736844</v>
      </c>
      <c r="G479" s="391">
        <f t="shared" si="273"/>
        <v>141.05263157894737</v>
      </c>
      <c r="H479" s="391">
        <f t="shared" si="273"/>
        <v>150.5263157894737</v>
      </c>
      <c r="I479" s="441"/>
      <c r="J479" s="441"/>
      <c r="K479" s="407"/>
    </row>
    <row r="480" spans="1:11">
      <c r="A480" s="333" t="s">
        <v>732</v>
      </c>
      <c r="B480" s="340">
        <f t="shared" ref="B480:H480" si="274">+B545</f>
        <v>60000</v>
      </c>
      <c r="C480" s="340">
        <f t="shared" si="274"/>
        <v>63000</v>
      </c>
      <c r="D480" s="430">
        <f t="shared" si="274"/>
        <v>66150</v>
      </c>
      <c r="E480" s="430">
        <f t="shared" si="274"/>
        <v>69460</v>
      </c>
      <c r="F480" s="430">
        <f t="shared" si="274"/>
        <v>72930</v>
      </c>
      <c r="G480" s="430">
        <f t="shared" si="274"/>
        <v>76580</v>
      </c>
      <c r="H480" s="430">
        <f t="shared" si="274"/>
        <v>80410</v>
      </c>
      <c r="I480" s="442"/>
      <c r="J480" s="442"/>
      <c r="K480" s="406"/>
    </row>
    <row r="481" spans="1:11">
      <c r="A481" s="333"/>
      <c r="B481" s="340"/>
      <c r="C481" s="340"/>
      <c r="D481" s="430"/>
      <c r="E481" s="430"/>
      <c r="F481" s="430"/>
      <c r="G481" s="430"/>
      <c r="H481" s="430"/>
      <c r="I481" s="442"/>
      <c r="J481" s="442"/>
      <c r="K481" s="406"/>
    </row>
    <row r="482" spans="1:11">
      <c r="A482" s="333" t="s">
        <v>733</v>
      </c>
      <c r="B482" s="340">
        <f t="shared" ref="B482:H482" si="275">+ROUND(B479*B480/100000,2)</f>
        <v>58.71</v>
      </c>
      <c r="C482" s="340">
        <f t="shared" si="275"/>
        <v>66.98</v>
      </c>
      <c r="D482" s="430">
        <f t="shared" si="275"/>
        <v>75.900000000000006</v>
      </c>
      <c r="E482" s="430">
        <f t="shared" si="275"/>
        <v>86.28</v>
      </c>
      <c r="F482" s="430">
        <f t="shared" si="275"/>
        <v>96.73</v>
      </c>
      <c r="G482" s="430">
        <f t="shared" si="275"/>
        <v>108.02</v>
      </c>
      <c r="H482" s="430">
        <f t="shared" si="275"/>
        <v>121.04</v>
      </c>
      <c r="I482" s="442"/>
      <c r="J482" s="442"/>
      <c r="K482" s="406"/>
    </row>
    <row r="483" spans="1:11">
      <c r="A483" s="333"/>
      <c r="B483" s="340"/>
      <c r="C483" s="340"/>
      <c r="D483" s="430"/>
      <c r="E483" s="430"/>
      <c r="F483" s="430"/>
      <c r="G483" s="430"/>
      <c r="H483" s="430"/>
      <c r="I483" s="442"/>
      <c r="J483" s="442"/>
      <c r="K483" s="406"/>
    </row>
    <row r="484" spans="1:11">
      <c r="A484" s="333" t="s">
        <v>947</v>
      </c>
      <c r="B484" s="340">
        <f>+B552</f>
        <v>227.10526315789474</v>
      </c>
      <c r="C484" s="340">
        <f t="shared" ref="C484:H484" si="276">+C552</f>
        <v>244.42105263157899</v>
      </c>
      <c r="D484" s="340">
        <f t="shared" si="276"/>
        <v>267.78947368421058</v>
      </c>
      <c r="E484" s="340">
        <f t="shared" si="276"/>
        <v>290.10526315789485</v>
      </c>
      <c r="F484" s="340">
        <f t="shared" si="276"/>
        <v>314.52631578947376</v>
      </c>
      <c r="G484" s="340">
        <f t="shared" si="276"/>
        <v>338.94736842105272</v>
      </c>
      <c r="H484" s="340">
        <f t="shared" si="276"/>
        <v>361.26315789473705</v>
      </c>
      <c r="I484" s="442"/>
      <c r="J484" s="442"/>
      <c r="K484" s="406"/>
    </row>
    <row r="485" spans="1:11">
      <c r="A485" s="333" t="s">
        <v>732</v>
      </c>
      <c r="B485" s="340">
        <v>15000</v>
      </c>
      <c r="C485" s="340">
        <f>+B485*1.05</f>
        <v>15750</v>
      </c>
      <c r="D485" s="340">
        <f t="shared" ref="D485:H485" si="277">+C485*1.05</f>
        <v>16537.5</v>
      </c>
      <c r="E485" s="340">
        <f t="shared" si="277"/>
        <v>17364.375</v>
      </c>
      <c r="F485" s="340">
        <f t="shared" si="277"/>
        <v>18232.59375</v>
      </c>
      <c r="G485" s="340">
        <f t="shared" si="277"/>
        <v>19144.223437500001</v>
      </c>
      <c r="H485" s="340">
        <f t="shared" si="277"/>
        <v>20101.434609375003</v>
      </c>
      <c r="I485" s="442"/>
      <c r="J485" s="442"/>
      <c r="K485" s="406"/>
    </row>
    <row r="486" spans="1:11">
      <c r="A486" s="333"/>
      <c r="B486" s="340"/>
      <c r="C486" s="340"/>
      <c r="D486" s="430"/>
      <c r="E486" s="430"/>
      <c r="F486" s="430"/>
      <c r="G486" s="430"/>
      <c r="H486" s="430"/>
      <c r="I486" s="442"/>
      <c r="J486" s="442"/>
      <c r="K486" s="406"/>
    </row>
    <row r="487" spans="1:11">
      <c r="A487" s="333" t="s">
        <v>733</v>
      </c>
      <c r="B487" s="340">
        <f>+B484*B485/100000</f>
        <v>34.065789473684212</v>
      </c>
      <c r="C487" s="340">
        <f t="shared" ref="C487:H487" si="278">+C484*C485/100000</f>
        <v>38.496315789473691</v>
      </c>
      <c r="D487" s="340">
        <f t="shared" si="278"/>
        <v>44.285684210526327</v>
      </c>
      <c r="E487" s="340">
        <f t="shared" si="278"/>
        <v>50.374965789473706</v>
      </c>
      <c r="F487" s="340">
        <f t="shared" si="278"/>
        <v>57.346305394736852</v>
      </c>
      <c r="G487" s="340">
        <f t="shared" si="278"/>
        <v>64.888841546052646</v>
      </c>
      <c r="H487" s="340">
        <f t="shared" si="278"/>
        <v>72.619077451973737</v>
      </c>
      <c r="I487" s="442"/>
      <c r="J487" s="442"/>
      <c r="K487" s="406"/>
    </row>
    <row r="488" spans="1:11">
      <c r="A488" s="333"/>
      <c r="B488" s="340"/>
      <c r="C488" s="340"/>
      <c r="D488" s="430"/>
      <c r="E488" s="430"/>
      <c r="F488" s="430"/>
      <c r="G488" s="430"/>
      <c r="H488" s="430"/>
      <c r="I488" s="442"/>
      <c r="J488" s="442"/>
      <c r="K488" s="406"/>
    </row>
    <row r="489" spans="1:11">
      <c r="A489" s="333" t="s">
        <v>948</v>
      </c>
      <c r="B489" s="340">
        <f t="shared" ref="B489:H489" si="279">+B97</f>
        <v>195.25333333333333</v>
      </c>
      <c r="C489" s="340">
        <f t="shared" si="279"/>
        <v>215.30666666666673</v>
      </c>
      <c r="D489" s="340">
        <f t="shared" si="279"/>
        <v>232.69333333333336</v>
      </c>
      <c r="E489" s="340">
        <f t="shared" si="279"/>
        <v>252.74666666666667</v>
      </c>
      <c r="F489" s="340">
        <f t="shared" si="279"/>
        <v>268.80000000000007</v>
      </c>
      <c r="G489" s="340">
        <f t="shared" si="279"/>
        <v>286.18666666666672</v>
      </c>
      <c r="H489" s="340">
        <f t="shared" si="279"/>
        <v>304.90666666666669</v>
      </c>
      <c r="I489" s="442"/>
      <c r="J489" s="442"/>
      <c r="K489" s="406"/>
    </row>
    <row r="490" spans="1:11">
      <c r="A490" s="333" t="s">
        <v>732</v>
      </c>
      <c r="B490" s="340">
        <f>+B485</f>
        <v>15000</v>
      </c>
      <c r="C490" s="340">
        <f t="shared" ref="C490:H490" si="280">+C485</f>
        <v>15750</v>
      </c>
      <c r="D490" s="340">
        <f t="shared" si="280"/>
        <v>16537.5</v>
      </c>
      <c r="E490" s="340">
        <f t="shared" si="280"/>
        <v>17364.375</v>
      </c>
      <c r="F490" s="340">
        <f t="shared" si="280"/>
        <v>18232.59375</v>
      </c>
      <c r="G490" s="340">
        <f t="shared" si="280"/>
        <v>19144.223437500001</v>
      </c>
      <c r="H490" s="340">
        <f t="shared" si="280"/>
        <v>20101.434609375003</v>
      </c>
      <c r="I490" s="442"/>
      <c r="J490" s="442"/>
      <c r="K490" s="406"/>
    </row>
    <row r="491" spans="1:11">
      <c r="A491" s="333"/>
      <c r="B491" s="340"/>
      <c r="C491" s="340"/>
      <c r="D491" s="430"/>
      <c r="E491" s="430"/>
      <c r="F491" s="430"/>
      <c r="G491" s="430"/>
      <c r="H491" s="430"/>
      <c r="I491" s="442"/>
      <c r="J491" s="442"/>
      <c r="K491" s="406"/>
    </row>
    <row r="492" spans="1:11">
      <c r="A492" s="333" t="s">
        <v>733</v>
      </c>
      <c r="B492" s="340">
        <f>+B489*B490/100000</f>
        <v>29.288</v>
      </c>
      <c r="C492" s="340">
        <f t="shared" ref="C492:H492" si="281">+C489*C490/100000</f>
        <v>33.910800000000009</v>
      </c>
      <c r="D492" s="340">
        <f t="shared" si="281"/>
        <v>38.481660000000005</v>
      </c>
      <c r="E492" s="340">
        <f t="shared" si="281"/>
        <v>43.887879000000005</v>
      </c>
      <c r="F492" s="340">
        <f t="shared" si="281"/>
        <v>49.009212000000012</v>
      </c>
      <c r="G492" s="340">
        <f t="shared" si="281"/>
        <v>54.788214915000012</v>
      </c>
      <c r="H492" s="340">
        <f t="shared" si="281"/>
        <v>61.290614219625013</v>
      </c>
      <c r="I492" s="442"/>
      <c r="J492" s="442"/>
      <c r="K492" s="406"/>
    </row>
    <row r="493" spans="1:11">
      <c r="A493" s="333"/>
      <c r="B493" s="340"/>
      <c r="C493" s="340"/>
      <c r="D493" s="430"/>
      <c r="E493" s="430"/>
      <c r="F493" s="430"/>
      <c r="G493" s="430"/>
      <c r="H493" s="430"/>
      <c r="I493" s="442"/>
      <c r="J493" s="442"/>
      <c r="K493" s="406"/>
    </row>
    <row r="494" spans="1:11">
      <c r="A494" s="333"/>
      <c r="B494" s="340"/>
      <c r="C494" s="340"/>
      <c r="D494" s="430"/>
      <c r="E494" s="430"/>
      <c r="F494" s="430"/>
      <c r="G494" s="430"/>
      <c r="H494" s="430"/>
      <c r="I494" s="442"/>
      <c r="J494" s="442"/>
      <c r="K494" s="406"/>
    </row>
    <row r="495" spans="1:11">
      <c r="A495" s="333"/>
      <c r="B495" s="340"/>
      <c r="C495" s="340"/>
      <c r="D495" s="430"/>
      <c r="E495" s="430"/>
      <c r="F495" s="430"/>
      <c r="G495" s="430"/>
      <c r="H495" s="430"/>
      <c r="I495" s="442"/>
      <c r="J495" s="442"/>
      <c r="K495" s="406"/>
    </row>
    <row r="496" spans="1:11" hidden="1">
      <c r="A496" s="333" t="s">
        <v>733</v>
      </c>
      <c r="B496" s="334">
        <f t="shared" ref="B496:H496" si="282">+B564</f>
        <v>0</v>
      </c>
      <c r="C496" s="334">
        <f t="shared" si="282"/>
        <v>0</v>
      </c>
      <c r="D496" s="391">
        <f t="shared" si="282"/>
        <v>0</v>
      </c>
      <c r="E496" s="391">
        <f t="shared" si="282"/>
        <v>0</v>
      </c>
      <c r="F496" s="391">
        <f t="shared" si="282"/>
        <v>0</v>
      </c>
      <c r="G496" s="391">
        <f t="shared" si="282"/>
        <v>0</v>
      </c>
      <c r="H496" s="391">
        <f t="shared" si="282"/>
        <v>0</v>
      </c>
      <c r="I496" s="441"/>
      <c r="J496" s="441"/>
      <c r="K496" s="407"/>
    </row>
    <row r="497" spans="1:11" hidden="1">
      <c r="A497" s="333" t="s">
        <v>732</v>
      </c>
      <c r="B497" s="340">
        <f t="shared" ref="B497:H497" si="283">+B569</f>
        <v>15000</v>
      </c>
      <c r="C497" s="340">
        <f t="shared" si="283"/>
        <v>15750</v>
      </c>
      <c r="D497" s="430">
        <f t="shared" si="283"/>
        <v>16540</v>
      </c>
      <c r="E497" s="430">
        <f t="shared" si="283"/>
        <v>17370</v>
      </c>
      <c r="F497" s="430">
        <f t="shared" si="283"/>
        <v>18240</v>
      </c>
      <c r="G497" s="430">
        <f t="shared" si="283"/>
        <v>19150</v>
      </c>
      <c r="H497" s="430">
        <f t="shared" si="283"/>
        <v>20110</v>
      </c>
      <c r="I497" s="442"/>
      <c r="J497" s="442"/>
      <c r="K497" s="406"/>
    </row>
    <row r="498" spans="1:11" hidden="1">
      <c r="A498" s="333"/>
      <c r="B498" s="340"/>
      <c r="C498" s="340"/>
      <c r="D498" s="430"/>
      <c r="E498" s="430"/>
      <c r="F498" s="430"/>
      <c r="G498" s="430"/>
      <c r="H498" s="430"/>
      <c r="I498" s="442"/>
      <c r="J498" s="442"/>
      <c r="K498" s="406"/>
    </row>
    <row r="499" spans="1:11" hidden="1">
      <c r="A499" s="333" t="s">
        <v>733</v>
      </c>
      <c r="B499" s="340">
        <f t="shared" ref="B499:H499" si="284">+ROUND(B496*B497/100000,2)</f>
        <v>0</v>
      </c>
      <c r="C499" s="340">
        <f t="shared" si="284"/>
        <v>0</v>
      </c>
      <c r="D499" s="430">
        <f t="shared" si="284"/>
        <v>0</v>
      </c>
      <c r="E499" s="430">
        <f t="shared" si="284"/>
        <v>0</v>
      </c>
      <c r="F499" s="430">
        <f t="shared" si="284"/>
        <v>0</v>
      </c>
      <c r="G499" s="430">
        <f t="shared" si="284"/>
        <v>0</v>
      </c>
      <c r="H499" s="430">
        <f t="shared" si="284"/>
        <v>0</v>
      </c>
      <c r="I499" s="442"/>
      <c r="J499" s="442"/>
      <c r="K499" s="406"/>
    </row>
    <row r="500" spans="1:11" hidden="1">
      <c r="A500" s="333"/>
      <c r="B500" s="340"/>
      <c r="C500" s="340"/>
      <c r="D500" s="430"/>
      <c r="E500" s="430"/>
      <c r="F500" s="430"/>
      <c r="G500" s="430"/>
      <c r="H500" s="430"/>
      <c r="I500" s="442"/>
      <c r="J500" s="442"/>
      <c r="K500" s="406"/>
    </row>
    <row r="501" spans="1:11" hidden="1">
      <c r="A501" s="333" t="str">
        <f>+A574</f>
        <v>Chilli</v>
      </c>
      <c r="B501" s="334">
        <f t="shared" ref="B501:H501" si="285">+B576</f>
        <v>0</v>
      </c>
      <c r="C501" s="334">
        <f t="shared" si="285"/>
        <v>0</v>
      </c>
      <c r="D501" s="391">
        <f t="shared" si="285"/>
        <v>0</v>
      </c>
      <c r="E501" s="391">
        <f t="shared" si="285"/>
        <v>0</v>
      </c>
      <c r="F501" s="391">
        <f t="shared" si="285"/>
        <v>0</v>
      </c>
      <c r="G501" s="391">
        <f t="shared" si="285"/>
        <v>0</v>
      </c>
      <c r="H501" s="391">
        <f t="shared" si="285"/>
        <v>0</v>
      </c>
      <c r="I501" s="441"/>
      <c r="J501" s="441"/>
      <c r="K501" s="407"/>
    </row>
    <row r="502" spans="1:11" hidden="1">
      <c r="A502" s="333" t="s">
        <v>732</v>
      </c>
      <c r="B502" s="340">
        <f t="shared" ref="B502:H502" si="286">+B581</f>
        <v>0</v>
      </c>
      <c r="C502" s="340">
        <f t="shared" si="286"/>
        <v>0</v>
      </c>
      <c r="D502" s="430">
        <f t="shared" si="286"/>
        <v>0</v>
      </c>
      <c r="E502" s="430">
        <f t="shared" si="286"/>
        <v>0</v>
      </c>
      <c r="F502" s="430">
        <f t="shared" si="286"/>
        <v>0</v>
      </c>
      <c r="G502" s="430">
        <f t="shared" si="286"/>
        <v>0</v>
      </c>
      <c r="H502" s="430">
        <f t="shared" si="286"/>
        <v>0</v>
      </c>
      <c r="I502" s="442"/>
      <c r="J502" s="442"/>
      <c r="K502" s="406"/>
    </row>
    <row r="503" spans="1:11" hidden="1">
      <c r="A503" s="333"/>
      <c r="B503" s="340"/>
      <c r="C503" s="340"/>
      <c r="D503" s="430"/>
      <c r="E503" s="430"/>
      <c r="F503" s="430"/>
      <c r="G503" s="430"/>
      <c r="H503" s="430"/>
      <c r="I503" s="442"/>
      <c r="J503" s="442"/>
      <c r="K503" s="406"/>
    </row>
    <row r="504" spans="1:11" hidden="1">
      <c r="A504" s="333" t="s">
        <v>733</v>
      </c>
      <c r="B504" s="340">
        <f t="shared" ref="B504:H504" si="287">+ROUND(B501*B502/100000,2)</f>
        <v>0</v>
      </c>
      <c r="C504" s="340">
        <f t="shared" si="287"/>
        <v>0</v>
      </c>
      <c r="D504" s="430">
        <f t="shared" si="287"/>
        <v>0</v>
      </c>
      <c r="E504" s="430">
        <f t="shared" si="287"/>
        <v>0</v>
      </c>
      <c r="F504" s="430">
        <f t="shared" si="287"/>
        <v>0</v>
      </c>
      <c r="G504" s="430">
        <f t="shared" si="287"/>
        <v>0</v>
      </c>
      <c r="H504" s="430">
        <f t="shared" si="287"/>
        <v>0</v>
      </c>
      <c r="I504" s="442"/>
      <c r="J504" s="442"/>
      <c r="K504" s="406"/>
    </row>
    <row r="505" spans="1:11">
      <c r="A505" s="333"/>
      <c r="B505" s="340"/>
      <c r="C505" s="340"/>
      <c r="D505" s="430"/>
      <c r="E505" s="430"/>
      <c r="F505" s="430"/>
      <c r="G505" s="427"/>
      <c r="H505" s="427"/>
      <c r="I505" s="440"/>
      <c r="J505" s="440"/>
      <c r="K505" s="254"/>
    </row>
    <row r="506" spans="1:11">
      <c r="A506" s="316" t="s">
        <v>734</v>
      </c>
      <c r="B506" s="341">
        <f>+B472+B477+B482+B499+B504+B487+B492</f>
        <v>152.17378947368422</v>
      </c>
      <c r="C506" s="341">
        <f t="shared" ref="C506:H506" si="288">+C472+C477+C482+C499+C504+C487+C492</f>
        <v>174.20711578947373</v>
      </c>
      <c r="D506" s="341">
        <f t="shared" si="288"/>
        <v>198.70734421052632</v>
      </c>
      <c r="E506" s="341">
        <f t="shared" si="288"/>
        <v>226.11284478947368</v>
      </c>
      <c r="F506" s="341">
        <f t="shared" si="288"/>
        <v>253.74551739473688</v>
      </c>
      <c r="G506" s="341">
        <f t="shared" si="288"/>
        <v>283.85705646105265</v>
      </c>
      <c r="H506" s="341">
        <f t="shared" si="288"/>
        <v>318.00969167159877</v>
      </c>
      <c r="I506" s="443"/>
      <c r="J506" s="443"/>
      <c r="K506" s="408"/>
    </row>
    <row r="510" spans="1:11" ht="26.25">
      <c r="A510" s="558" t="s">
        <v>744</v>
      </c>
    </row>
    <row r="511" spans="1:11">
      <c r="A511" s="554" t="s">
        <v>0</v>
      </c>
      <c r="B511" s="555" t="s">
        <v>2</v>
      </c>
      <c r="C511" s="555" t="s">
        <v>3</v>
      </c>
      <c r="D511" s="556" t="s">
        <v>4</v>
      </c>
      <c r="E511" s="556" t="s">
        <v>5</v>
      </c>
      <c r="F511" s="556" t="s">
        <v>6</v>
      </c>
      <c r="G511" s="556" t="s">
        <v>163</v>
      </c>
      <c r="H511" s="556" t="s">
        <v>162</v>
      </c>
      <c r="I511" s="444"/>
      <c r="J511" s="444">
        <v>1</v>
      </c>
      <c r="K511" s="411"/>
    </row>
    <row r="512" spans="1:11">
      <c r="A512" s="316" t="s">
        <v>736</v>
      </c>
      <c r="B512" s="333"/>
      <c r="C512" s="333"/>
      <c r="D512" s="391"/>
      <c r="E512" s="391"/>
      <c r="F512" s="391"/>
      <c r="G512" s="345"/>
      <c r="H512" s="345"/>
      <c r="I512" s="445"/>
      <c r="J512" s="445"/>
      <c r="K512" s="412"/>
    </row>
    <row r="513" spans="1:11">
      <c r="A513" s="316" t="str">
        <f>+'Input Sheet'!B68</f>
        <v>Flax Seed</v>
      </c>
      <c r="B513" s="333"/>
      <c r="C513" s="333"/>
      <c r="D513" s="391"/>
      <c r="E513" s="391"/>
      <c r="F513" s="391"/>
      <c r="G513" s="345"/>
      <c r="H513" s="345"/>
      <c r="I513" s="445"/>
      <c r="J513" s="445"/>
      <c r="K513" s="412"/>
    </row>
    <row r="514" spans="1:11">
      <c r="A514" s="333" t="s">
        <v>354</v>
      </c>
      <c r="B514" s="333">
        <v>0</v>
      </c>
      <c r="C514" s="333">
        <f t="shared" ref="C514:H514" si="289">B517</f>
        <v>0</v>
      </c>
      <c r="D514" s="391">
        <f t="shared" si="289"/>
        <v>0</v>
      </c>
      <c r="E514" s="391">
        <f t="shared" si="289"/>
        <v>0</v>
      </c>
      <c r="F514" s="391">
        <f t="shared" si="289"/>
        <v>0</v>
      </c>
      <c r="G514" s="391">
        <f t="shared" si="289"/>
        <v>0</v>
      </c>
      <c r="H514" s="391">
        <f t="shared" si="289"/>
        <v>0</v>
      </c>
      <c r="I514" s="446"/>
      <c r="J514" s="446"/>
      <c r="K514" s="413"/>
    </row>
    <row r="515" spans="1:11">
      <c r="A515" s="333" t="s">
        <v>737</v>
      </c>
      <c r="B515" s="334">
        <f t="shared" ref="B515:H515" si="290">SUM(B516:B517)-B514</f>
        <v>27.368421052631579</v>
      </c>
      <c r="C515" s="334">
        <f t="shared" si="290"/>
        <v>30.526315789473685</v>
      </c>
      <c r="D515" s="391">
        <f t="shared" si="290"/>
        <v>32.631578947368425</v>
      </c>
      <c r="E515" s="391">
        <f t="shared" si="290"/>
        <v>35.789473684210527</v>
      </c>
      <c r="F515" s="391">
        <f t="shared" si="290"/>
        <v>37.894736842105267</v>
      </c>
      <c r="G515" s="391">
        <f t="shared" si="290"/>
        <v>40</v>
      </c>
      <c r="H515" s="391">
        <f t="shared" si="290"/>
        <v>43.15789473684211</v>
      </c>
      <c r="I515" s="446"/>
      <c r="J515" s="446"/>
      <c r="K515" s="414"/>
    </row>
    <row r="516" spans="1:11">
      <c r="A516" s="333" t="s">
        <v>738</v>
      </c>
      <c r="B516" s="334">
        <f t="shared" ref="B516:H516" si="291">+B28</f>
        <v>27.368421052631579</v>
      </c>
      <c r="C516" s="334">
        <f t="shared" si="291"/>
        <v>30.526315789473685</v>
      </c>
      <c r="D516" s="334">
        <f t="shared" si="291"/>
        <v>32.631578947368425</v>
      </c>
      <c r="E516" s="334">
        <f t="shared" si="291"/>
        <v>35.789473684210527</v>
      </c>
      <c r="F516" s="334">
        <f t="shared" si="291"/>
        <v>37.894736842105267</v>
      </c>
      <c r="G516" s="334">
        <f t="shared" si="291"/>
        <v>40</v>
      </c>
      <c r="H516" s="334">
        <f t="shared" si="291"/>
        <v>43.15789473684211</v>
      </c>
      <c r="I516" s="446"/>
      <c r="J516" s="446"/>
      <c r="K516" s="414"/>
    </row>
    <row r="517" spans="1:11">
      <c r="A517" s="333" t="s">
        <v>739</v>
      </c>
      <c r="B517" s="333">
        <f t="shared" ref="B517:H517" si="292">ROUND(B516/B119,0)</f>
        <v>0</v>
      </c>
      <c r="C517" s="333">
        <f t="shared" si="292"/>
        <v>0</v>
      </c>
      <c r="D517" s="391">
        <f t="shared" si="292"/>
        <v>0</v>
      </c>
      <c r="E517" s="391">
        <f t="shared" si="292"/>
        <v>0</v>
      </c>
      <c r="F517" s="391">
        <f t="shared" si="292"/>
        <v>0</v>
      </c>
      <c r="G517" s="391">
        <f t="shared" si="292"/>
        <v>0</v>
      </c>
      <c r="H517" s="391">
        <f t="shared" si="292"/>
        <v>0</v>
      </c>
      <c r="I517" s="446"/>
      <c r="J517" s="446"/>
      <c r="K517" s="413"/>
    </row>
    <row r="518" spans="1:11">
      <c r="A518" s="317"/>
      <c r="B518" s="317"/>
      <c r="C518" s="317"/>
      <c r="D518" s="345"/>
      <c r="E518" s="345"/>
      <c r="F518" s="345"/>
      <c r="G518" s="345"/>
      <c r="H518" s="345"/>
      <c r="I518" s="445"/>
      <c r="J518" s="445"/>
      <c r="K518" s="412"/>
    </row>
    <row r="519" spans="1:11">
      <c r="A519" s="316" t="s">
        <v>740</v>
      </c>
      <c r="B519" s="317"/>
      <c r="C519" s="317"/>
      <c r="D519" s="345"/>
      <c r="E519" s="345"/>
      <c r="F519" s="345"/>
      <c r="G519" s="345"/>
      <c r="H519" s="345"/>
      <c r="I519" s="445"/>
      <c r="J519" s="445"/>
      <c r="K519" s="412"/>
    </row>
    <row r="520" spans="1:11">
      <c r="A520" s="316" t="s">
        <v>741</v>
      </c>
      <c r="B520" s="599">
        <f>+'Input Sheet'!C68</f>
        <v>70000</v>
      </c>
      <c r="C520" s="599">
        <f>+'Input Sheet'!D68</f>
        <v>73500</v>
      </c>
      <c r="D520" s="599">
        <f>+'Input Sheet'!E68</f>
        <v>77180</v>
      </c>
      <c r="E520" s="599">
        <f>+'Input Sheet'!F68</f>
        <v>81040</v>
      </c>
      <c r="F520" s="599">
        <f>+'Input Sheet'!G68</f>
        <v>85090</v>
      </c>
      <c r="G520" s="599">
        <f>+'Input Sheet'!H68</f>
        <v>89340</v>
      </c>
      <c r="H520" s="599">
        <f>+'Input Sheet'!I68</f>
        <v>93810</v>
      </c>
      <c r="I520" s="445"/>
      <c r="J520" s="445"/>
      <c r="K520" s="415"/>
    </row>
    <row r="521" spans="1:11">
      <c r="A521" s="317"/>
      <c r="B521" s="317"/>
      <c r="C521" s="317"/>
      <c r="D521" s="345"/>
      <c r="E521" s="345"/>
      <c r="F521" s="345"/>
      <c r="G521" s="345"/>
      <c r="H521" s="345"/>
      <c r="I521" s="445"/>
      <c r="J521" s="445"/>
      <c r="K521" s="412"/>
    </row>
    <row r="522" spans="1:11">
      <c r="A522" s="317"/>
      <c r="B522" s="317"/>
      <c r="C522" s="317"/>
      <c r="D522" s="345"/>
      <c r="E522" s="345"/>
      <c r="F522" s="345"/>
      <c r="G522" s="345"/>
      <c r="H522" s="345"/>
      <c r="I522" s="445"/>
      <c r="J522" s="445"/>
      <c r="K522" s="412"/>
    </row>
    <row r="523" spans="1:11">
      <c r="A523" s="318" t="s">
        <v>742</v>
      </c>
      <c r="B523" s="410">
        <f>+B514*B520/100000</f>
        <v>0</v>
      </c>
      <c r="C523" s="342">
        <f t="shared" ref="C523:H523" si="293">+B524</f>
        <v>0</v>
      </c>
      <c r="D523" s="342">
        <f t="shared" si="293"/>
        <v>0</v>
      </c>
      <c r="E523" s="342">
        <f t="shared" si="293"/>
        <v>0</v>
      </c>
      <c r="F523" s="342">
        <f t="shared" si="293"/>
        <v>0</v>
      </c>
      <c r="G523" s="342">
        <f t="shared" si="293"/>
        <v>0</v>
      </c>
      <c r="H523" s="342">
        <f t="shared" si="293"/>
        <v>0</v>
      </c>
      <c r="I523" s="416"/>
      <c r="J523" s="416"/>
      <c r="K523" s="416"/>
    </row>
    <row r="524" spans="1:11">
      <c r="A524" s="318" t="s">
        <v>743</v>
      </c>
      <c r="B524" s="342">
        <f t="shared" ref="B524:H524" si="294">+B517*B520/100000</f>
        <v>0</v>
      </c>
      <c r="C524" s="342">
        <f t="shared" si="294"/>
        <v>0</v>
      </c>
      <c r="D524" s="342">
        <f t="shared" si="294"/>
        <v>0</v>
      </c>
      <c r="E524" s="342">
        <f t="shared" si="294"/>
        <v>0</v>
      </c>
      <c r="F524" s="342">
        <f t="shared" si="294"/>
        <v>0</v>
      </c>
      <c r="G524" s="342">
        <f t="shared" si="294"/>
        <v>0</v>
      </c>
      <c r="H524" s="342">
        <f t="shared" si="294"/>
        <v>0</v>
      </c>
      <c r="I524" s="416"/>
      <c r="J524" s="416"/>
      <c r="K524" s="416"/>
    </row>
    <row r="525" spans="1:11">
      <c r="A525" s="317"/>
      <c r="B525" s="317"/>
      <c r="C525" s="317"/>
      <c r="D525" s="345"/>
      <c r="E525" s="345"/>
      <c r="F525" s="345"/>
      <c r="G525" s="345"/>
      <c r="H525" s="345"/>
      <c r="I525" s="445"/>
      <c r="J525" s="445"/>
      <c r="K525" s="412"/>
    </row>
    <row r="526" spans="1:11">
      <c r="A526" s="316" t="str">
        <f>+'Input Sheet'!B69</f>
        <v>safflower</v>
      </c>
      <c r="B526" s="333"/>
      <c r="C526" s="333"/>
      <c r="D526" s="391"/>
      <c r="E526" s="391"/>
      <c r="F526" s="391"/>
      <c r="G526" s="345"/>
      <c r="H526" s="345"/>
      <c r="I526" s="445"/>
      <c r="J526" s="445"/>
      <c r="K526" s="412"/>
    </row>
    <row r="527" spans="1:11">
      <c r="A527" s="333" t="s">
        <v>354</v>
      </c>
      <c r="B527" s="333">
        <v>0</v>
      </c>
      <c r="C527" s="333">
        <f t="shared" ref="C527:H527" si="295">B530</f>
        <v>0</v>
      </c>
      <c r="D527" s="391">
        <f t="shared" si="295"/>
        <v>0</v>
      </c>
      <c r="E527" s="391">
        <f t="shared" si="295"/>
        <v>0</v>
      </c>
      <c r="F527" s="391">
        <f t="shared" si="295"/>
        <v>0</v>
      </c>
      <c r="G527" s="391">
        <f t="shared" si="295"/>
        <v>0</v>
      </c>
      <c r="H527" s="391">
        <f t="shared" si="295"/>
        <v>0</v>
      </c>
      <c r="I527" s="446"/>
      <c r="J527" s="446"/>
      <c r="K527" s="413"/>
    </row>
    <row r="528" spans="1:11">
      <c r="A528" s="333" t="s">
        <v>737</v>
      </c>
      <c r="B528" s="334">
        <f t="shared" ref="B528:H528" si="296">SUM(B529:B530)-B527</f>
        <v>13.684210526315789</v>
      </c>
      <c r="C528" s="334">
        <f t="shared" si="296"/>
        <v>14.736842105263159</v>
      </c>
      <c r="D528" s="391">
        <f t="shared" si="296"/>
        <v>16.842105263157894</v>
      </c>
      <c r="E528" s="391">
        <f t="shared" si="296"/>
        <v>17.894736842105264</v>
      </c>
      <c r="F528" s="391">
        <f t="shared" si="296"/>
        <v>18.947368421052634</v>
      </c>
      <c r="G528" s="391">
        <f t="shared" si="296"/>
        <v>20</v>
      </c>
      <c r="H528" s="391">
        <f t="shared" si="296"/>
        <v>21.05263157894737</v>
      </c>
      <c r="I528" s="446"/>
      <c r="J528" s="446"/>
      <c r="K528" s="414"/>
    </row>
    <row r="529" spans="1:11">
      <c r="A529" s="333" t="s">
        <v>738</v>
      </c>
      <c r="B529" s="334">
        <f t="shared" ref="B529:H529" si="297">+B29</f>
        <v>13.684210526315789</v>
      </c>
      <c r="C529" s="334">
        <f t="shared" si="297"/>
        <v>14.736842105263159</v>
      </c>
      <c r="D529" s="334">
        <f t="shared" si="297"/>
        <v>16.842105263157894</v>
      </c>
      <c r="E529" s="334">
        <f t="shared" si="297"/>
        <v>17.894736842105264</v>
      </c>
      <c r="F529" s="334">
        <f t="shared" si="297"/>
        <v>18.947368421052634</v>
      </c>
      <c r="G529" s="334">
        <f t="shared" si="297"/>
        <v>20</v>
      </c>
      <c r="H529" s="334">
        <f t="shared" si="297"/>
        <v>21.05263157894737</v>
      </c>
      <c r="I529" s="446"/>
      <c r="J529" s="446"/>
      <c r="K529" s="414"/>
    </row>
    <row r="530" spans="1:11">
      <c r="A530" s="333" t="s">
        <v>739</v>
      </c>
      <c r="B530" s="333">
        <f t="shared" ref="B530:H530" si="298">ROUND(B529/B119,0)</f>
        <v>0</v>
      </c>
      <c r="C530" s="333">
        <f t="shared" si="298"/>
        <v>0</v>
      </c>
      <c r="D530" s="391">
        <f t="shared" si="298"/>
        <v>0</v>
      </c>
      <c r="E530" s="391">
        <f t="shared" si="298"/>
        <v>0</v>
      </c>
      <c r="F530" s="391">
        <f t="shared" si="298"/>
        <v>0</v>
      </c>
      <c r="G530" s="391">
        <f t="shared" si="298"/>
        <v>0</v>
      </c>
      <c r="H530" s="391">
        <f t="shared" si="298"/>
        <v>0</v>
      </c>
      <c r="I530" s="446"/>
      <c r="J530" s="446"/>
      <c r="K530" s="413"/>
    </row>
    <row r="531" spans="1:11">
      <c r="A531" s="317"/>
      <c r="B531" s="317"/>
      <c r="C531" s="317"/>
      <c r="D531" s="345"/>
      <c r="E531" s="345"/>
      <c r="F531" s="345"/>
      <c r="G531" s="345"/>
      <c r="H531" s="345"/>
      <c r="I531" s="445"/>
      <c r="J531" s="445"/>
      <c r="K531" s="412"/>
    </row>
    <row r="532" spans="1:11">
      <c r="A532" s="316" t="s">
        <v>740</v>
      </c>
      <c r="B532" s="317"/>
      <c r="C532" s="317"/>
      <c r="D532" s="345"/>
      <c r="E532" s="345"/>
      <c r="F532" s="345"/>
      <c r="G532" s="345"/>
      <c r="H532" s="345"/>
      <c r="I532" s="445"/>
      <c r="J532" s="445"/>
      <c r="K532" s="412"/>
    </row>
    <row r="533" spans="1:11">
      <c r="A533" s="316" t="s">
        <v>741</v>
      </c>
      <c r="B533" s="599">
        <f>+'Input Sheet'!C69</f>
        <v>80000</v>
      </c>
      <c r="C533" s="599">
        <f>+'Input Sheet'!D69</f>
        <v>84000</v>
      </c>
      <c r="D533" s="599">
        <f>+'Input Sheet'!E69</f>
        <v>88200</v>
      </c>
      <c r="E533" s="599">
        <f>+'Input Sheet'!F69</f>
        <v>92610</v>
      </c>
      <c r="F533" s="599">
        <f>+'Input Sheet'!G69</f>
        <v>97240</v>
      </c>
      <c r="G533" s="599">
        <f>+'Input Sheet'!H69</f>
        <v>102100</v>
      </c>
      <c r="H533" s="599">
        <f>+'Input Sheet'!I69</f>
        <v>107210</v>
      </c>
      <c r="I533" s="445"/>
      <c r="J533" s="445"/>
      <c r="K533" s="415"/>
    </row>
    <row r="534" spans="1:11">
      <c r="A534" s="316"/>
      <c r="B534" s="330"/>
      <c r="C534" s="409"/>
      <c r="D534" s="345"/>
      <c r="E534" s="345"/>
      <c r="F534" s="345"/>
      <c r="G534" s="345"/>
      <c r="H534" s="345"/>
      <c r="I534" s="445"/>
      <c r="J534" s="445"/>
      <c r="K534" s="415"/>
    </row>
    <row r="535" spans="1:11">
      <c r="A535" s="318" t="s">
        <v>742</v>
      </c>
      <c r="B535" s="410">
        <f>+B527*B533/100000</f>
        <v>0</v>
      </c>
      <c r="C535" s="342">
        <f t="shared" ref="C535:H535" si="299">+B536</f>
        <v>0</v>
      </c>
      <c r="D535" s="342">
        <f t="shared" si="299"/>
        <v>0</v>
      </c>
      <c r="E535" s="342">
        <f t="shared" si="299"/>
        <v>0</v>
      </c>
      <c r="F535" s="342">
        <f t="shared" si="299"/>
        <v>0</v>
      </c>
      <c r="G535" s="342">
        <f t="shared" si="299"/>
        <v>0</v>
      </c>
      <c r="H535" s="342">
        <f t="shared" si="299"/>
        <v>0</v>
      </c>
      <c r="I535" s="416"/>
      <c r="J535" s="416"/>
      <c r="K535" s="416"/>
    </row>
    <row r="536" spans="1:11">
      <c r="A536" s="318" t="s">
        <v>743</v>
      </c>
      <c r="B536" s="342">
        <f t="shared" ref="B536:H536" si="300">+B530*B533/100000</f>
        <v>0</v>
      </c>
      <c r="C536" s="342">
        <f t="shared" si="300"/>
        <v>0</v>
      </c>
      <c r="D536" s="342">
        <f t="shared" si="300"/>
        <v>0</v>
      </c>
      <c r="E536" s="342">
        <f t="shared" si="300"/>
        <v>0</v>
      </c>
      <c r="F536" s="342">
        <f t="shared" si="300"/>
        <v>0</v>
      </c>
      <c r="G536" s="342">
        <f t="shared" si="300"/>
        <v>0</v>
      </c>
      <c r="H536" s="342">
        <f t="shared" si="300"/>
        <v>0</v>
      </c>
      <c r="I536" s="416"/>
      <c r="J536" s="416"/>
      <c r="K536" s="416"/>
    </row>
    <row r="537" spans="1:11">
      <c r="A537" s="318"/>
      <c r="B537" s="342"/>
      <c r="C537" s="342"/>
      <c r="D537" s="342"/>
      <c r="E537" s="342"/>
      <c r="F537" s="342"/>
      <c r="G537" s="342"/>
      <c r="H537" s="342"/>
      <c r="I537" s="416"/>
      <c r="J537" s="416"/>
      <c r="K537" s="416"/>
    </row>
    <row r="538" spans="1:11">
      <c r="A538" s="316" t="str">
        <f>+'Input Sheet'!B71</f>
        <v>Mustered</v>
      </c>
      <c r="B538" s="333"/>
      <c r="C538" s="333"/>
      <c r="D538" s="391"/>
      <c r="E538" s="391"/>
      <c r="F538" s="391"/>
      <c r="G538" s="345"/>
      <c r="H538" s="345"/>
      <c r="I538" s="445"/>
      <c r="J538" s="445"/>
      <c r="K538" s="412"/>
    </row>
    <row r="539" spans="1:11">
      <c r="A539" s="333" t="s">
        <v>354</v>
      </c>
      <c r="B539" s="333">
        <v>0</v>
      </c>
      <c r="C539" s="333">
        <f t="shared" ref="C539:H539" si="301">B542</f>
        <v>1</v>
      </c>
      <c r="D539" s="391">
        <f t="shared" si="301"/>
        <v>1</v>
      </c>
      <c r="E539" s="391">
        <f t="shared" si="301"/>
        <v>1</v>
      </c>
      <c r="F539" s="391">
        <f t="shared" si="301"/>
        <v>1</v>
      </c>
      <c r="G539" s="391">
        <f t="shared" si="301"/>
        <v>1</v>
      </c>
      <c r="H539" s="391">
        <f t="shared" si="301"/>
        <v>1</v>
      </c>
      <c r="I539" s="446"/>
      <c r="J539" s="446"/>
      <c r="K539" s="413"/>
    </row>
    <row r="540" spans="1:11">
      <c r="A540" s="333" t="s">
        <v>737</v>
      </c>
      <c r="B540" s="334">
        <f t="shared" ref="B540:H540" si="302">SUM(B541:B542)-B539</f>
        <v>97.842105263157904</v>
      </c>
      <c r="C540" s="334">
        <f t="shared" si="302"/>
        <v>106.31578947368422</v>
      </c>
      <c r="D540" s="391">
        <f t="shared" si="302"/>
        <v>114.73684210526316</v>
      </c>
      <c r="E540" s="391">
        <f t="shared" si="302"/>
        <v>124.21052631578948</v>
      </c>
      <c r="F540" s="391">
        <f t="shared" si="302"/>
        <v>132.63157894736844</v>
      </c>
      <c r="G540" s="391">
        <f t="shared" si="302"/>
        <v>141.05263157894737</v>
      </c>
      <c r="H540" s="391">
        <f t="shared" si="302"/>
        <v>150.5263157894737</v>
      </c>
      <c r="I540" s="446"/>
      <c r="J540" s="446"/>
      <c r="K540" s="414"/>
    </row>
    <row r="541" spans="1:11">
      <c r="A541" s="333" t="s">
        <v>738</v>
      </c>
      <c r="B541" s="334">
        <f t="shared" ref="B541:H541" si="303">+B30</f>
        <v>96.842105263157904</v>
      </c>
      <c r="C541" s="334">
        <f t="shared" si="303"/>
        <v>106.31578947368422</v>
      </c>
      <c r="D541" s="334">
        <f t="shared" si="303"/>
        <v>114.73684210526316</v>
      </c>
      <c r="E541" s="334">
        <f t="shared" si="303"/>
        <v>124.21052631578948</v>
      </c>
      <c r="F541" s="334">
        <f t="shared" si="303"/>
        <v>132.63157894736844</v>
      </c>
      <c r="G541" s="334">
        <f t="shared" si="303"/>
        <v>141.05263157894737</v>
      </c>
      <c r="H541" s="334">
        <f t="shared" si="303"/>
        <v>150.5263157894737</v>
      </c>
      <c r="I541" s="446"/>
      <c r="J541" s="446"/>
      <c r="K541" s="414"/>
    </row>
    <row r="542" spans="1:11">
      <c r="A542" s="333" t="s">
        <v>739</v>
      </c>
      <c r="B542" s="333">
        <f t="shared" ref="B542:H542" si="304">ROUND(B541/B119,0)</f>
        <v>1</v>
      </c>
      <c r="C542" s="333">
        <f t="shared" si="304"/>
        <v>1</v>
      </c>
      <c r="D542" s="391">
        <f t="shared" si="304"/>
        <v>1</v>
      </c>
      <c r="E542" s="391">
        <f t="shared" si="304"/>
        <v>1</v>
      </c>
      <c r="F542" s="391">
        <f t="shared" si="304"/>
        <v>1</v>
      </c>
      <c r="G542" s="391">
        <f t="shared" si="304"/>
        <v>1</v>
      </c>
      <c r="H542" s="391">
        <f t="shared" si="304"/>
        <v>1</v>
      </c>
      <c r="I542" s="446"/>
      <c r="J542" s="446"/>
      <c r="K542" s="413"/>
    </row>
    <row r="543" spans="1:11">
      <c r="A543" s="317"/>
      <c r="B543" s="317"/>
      <c r="C543" s="317"/>
      <c r="D543" s="345"/>
      <c r="E543" s="345"/>
      <c r="F543" s="345"/>
      <c r="G543" s="345"/>
      <c r="H543" s="345"/>
      <c r="I543" s="445"/>
      <c r="J543" s="445"/>
      <c r="K543" s="412"/>
    </row>
    <row r="544" spans="1:11">
      <c r="A544" s="316" t="s">
        <v>740</v>
      </c>
      <c r="B544" s="317"/>
      <c r="C544" s="317"/>
      <c r="D544" s="345"/>
      <c r="E544" s="345"/>
      <c r="F544" s="345"/>
      <c r="G544" s="345"/>
      <c r="H544" s="345"/>
      <c r="I544" s="445"/>
      <c r="J544" s="445"/>
      <c r="K544" s="412"/>
    </row>
    <row r="545" spans="1:11">
      <c r="A545" s="316" t="s">
        <v>741</v>
      </c>
      <c r="B545" s="330">
        <f>+'Input Sheet'!C71</f>
        <v>60000</v>
      </c>
      <c r="C545" s="330">
        <f>+'Input Sheet'!D71</f>
        <v>63000</v>
      </c>
      <c r="D545" s="330">
        <f>+'Input Sheet'!E71</f>
        <v>66150</v>
      </c>
      <c r="E545" s="330">
        <f>+'Input Sheet'!F71</f>
        <v>69460</v>
      </c>
      <c r="F545" s="330">
        <f>+'Input Sheet'!G71</f>
        <v>72930</v>
      </c>
      <c r="G545" s="330">
        <f>+'Input Sheet'!H71</f>
        <v>76580</v>
      </c>
      <c r="H545" s="330">
        <f>+'Input Sheet'!I71</f>
        <v>80410</v>
      </c>
      <c r="I545" s="445"/>
      <c r="J545" s="445"/>
      <c r="K545" s="415"/>
    </row>
    <row r="546" spans="1:11">
      <c r="A546" s="316"/>
      <c r="B546" s="330"/>
      <c r="C546" s="409"/>
      <c r="D546" s="345"/>
      <c r="E546" s="345"/>
      <c r="F546" s="345"/>
      <c r="G546" s="345"/>
      <c r="H546" s="345"/>
      <c r="I546" s="445"/>
      <c r="J546" s="445"/>
      <c r="K546" s="415"/>
    </row>
    <row r="547" spans="1:11">
      <c r="A547" s="318" t="s">
        <v>742</v>
      </c>
      <c r="B547" s="410">
        <f>+B539*B545/100000</f>
        <v>0</v>
      </c>
      <c r="C547" s="342">
        <f t="shared" ref="C547:H547" si="305">+B548</f>
        <v>0.6</v>
      </c>
      <c r="D547" s="342">
        <f t="shared" si="305"/>
        <v>0.63</v>
      </c>
      <c r="E547" s="342">
        <f t="shared" si="305"/>
        <v>0.66149999999999998</v>
      </c>
      <c r="F547" s="342">
        <f t="shared" si="305"/>
        <v>0.6946</v>
      </c>
      <c r="G547" s="342">
        <f t="shared" si="305"/>
        <v>0.72929999999999995</v>
      </c>
      <c r="H547" s="342">
        <f t="shared" si="305"/>
        <v>0.76580000000000004</v>
      </c>
      <c r="I547" s="416"/>
      <c r="J547" s="416"/>
      <c r="K547" s="416"/>
    </row>
    <row r="548" spans="1:11">
      <c r="A548" s="318" t="s">
        <v>743</v>
      </c>
      <c r="B548" s="342">
        <f t="shared" ref="B548:H548" si="306">+B542*B545/100000</f>
        <v>0.6</v>
      </c>
      <c r="C548" s="342">
        <f t="shared" si="306"/>
        <v>0.63</v>
      </c>
      <c r="D548" s="342">
        <f t="shared" si="306"/>
        <v>0.66149999999999998</v>
      </c>
      <c r="E548" s="342">
        <f t="shared" si="306"/>
        <v>0.6946</v>
      </c>
      <c r="F548" s="342">
        <f t="shared" si="306"/>
        <v>0.72929999999999995</v>
      </c>
      <c r="G548" s="342">
        <f t="shared" si="306"/>
        <v>0.76580000000000004</v>
      </c>
      <c r="H548" s="342">
        <f t="shared" si="306"/>
        <v>0.80410000000000004</v>
      </c>
      <c r="I548" s="416"/>
      <c r="J548" s="416"/>
      <c r="K548" s="416"/>
    </row>
    <row r="549" spans="1:11">
      <c r="A549" s="318"/>
      <c r="B549" s="342"/>
      <c r="C549" s="342"/>
      <c r="D549" s="342"/>
      <c r="E549" s="342"/>
      <c r="F549" s="342"/>
      <c r="G549" s="342"/>
      <c r="H549" s="342"/>
      <c r="I549" s="416"/>
      <c r="J549" s="416"/>
      <c r="K549" s="416"/>
    </row>
    <row r="550" spans="1:11">
      <c r="A550" s="316" t="s">
        <v>947</v>
      </c>
      <c r="B550" s="333"/>
      <c r="C550" s="333"/>
      <c r="D550" s="391"/>
      <c r="E550" s="391"/>
      <c r="F550" s="391"/>
      <c r="G550" s="345"/>
      <c r="H550" s="345"/>
      <c r="I550" s="416"/>
      <c r="J550" s="416"/>
      <c r="K550" s="416"/>
    </row>
    <row r="551" spans="1:11">
      <c r="A551" s="333" t="s">
        <v>354</v>
      </c>
      <c r="B551" s="333">
        <v>0</v>
      </c>
      <c r="C551" s="333">
        <f t="shared" ref="C551" si="307">B554</f>
        <v>5</v>
      </c>
      <c r="D551" s="391">
        <f t="shared" ref="D551" si="308">C554</f>
        <v>5</v>
      </c>
      <c r="E551" s="391">
        <f t="shared" ref="E551" si="309">D554</f>
        <v>5</v>
      </c>
      <c r="F551" s="391">
        <f t="shared" ref="F551" si="310">E554</f>
        <v>5</v>
      </c>
      <c r="G551" s="391">
        <f t="shared" ref="G551" si="311">F554</f>
        <v>5</v>
      </c>
      <c r="H551" s="391">
        <f t="shared" ref="H551" si="312">G554</f>
        <v>5</v>
      </c>
      <c r="I551" s="416"/>
      <c r="J551" s="416"/>
      <c r="K551" s="416"/>
    </row>
    <row r="552" spans="1:11">
      <c r="A552" s="333" t="s">
        <v>737</v>
      </c>
      <c r="B552" s="334">
        <f t="shared" ref="B552:H552" si="313">SUM(B553:B554)-B551</f>
        <v>227.10526315789474</v>
      </c>
      <c r="C552" s="334">
        <f t="shared" si="313"/>
        <v>244.42105263157899</v>
      </c>
      <c r="D552" s="391">
        <f t="shared" si="313"/>
        <v>267.78947368421058</v>
      </c>
      <c r="E552" s="391">
        <f t="shared" si="313"/>
        <v>290.10526315789485</v>
      </c>
      <c r="F552" s="391">
        <f t="shared" si="313"/>
        <v>314.52631578947376</v>
      </c>
      <c r="G552" s="391">
        <f t="shared" si="313"/>
        <v>338.94736842105272</v>
      </c>
      <c r="H552" s="391">
        <f t="shared" si="313"/>
        <v>361.26315789473705</v>
      </c>
      <c r="I552" s="416"/>
      <c r="J552" s="416"/>
      <c r="K552" s="416"/>
    </row>
    <row r="553" spans="1:11">
      <c r="A553" s="333" t="s">
        <v>738</v>
      </c>
      <c r="B553" s="334">
        <f t="shared" ref="B553:H553" si="314">+B31</f>
        <v>222.10526315789474</v>
      </c>
      <c r="C553" s="334">
        <f t="shared" si="314"/>
        <v>244.42105263157899</v>
      </c>
      <c r="D553" s="334">
        <f t="shared" si="314"/>
        <v>267.78947368421058</v>
      </c>
      <c r="E553" s="334">
        <f t="shared" si="314"/>
        <v>290.10526315789485</v>
      </c>
      <c r="F553" s="334">
        <f t="shared" si="314"/>
        <v>314.52631578947376</v>
      </c>
      <c r="G553" s="334">
        <f t="shared" si="314"/>
        <v>338.94736842105272</v>
      </c>
      <c r="H553" s="334">
        <f t="shared" si="314"/>
        <v>361.26315789473705</v>
      </c>
      <c r="I553" s="416"/>
      <c r="J553" s="416"/>
      <c r="K553" s="416"/>
    </row>
    <row r="554" spans="1:11">
      <c r="A554" s="333" t="s">
        <v>739</v>
      </c>
      <c r="B554" s="333">
        <f t="shared" ref="B554:H554" si="315">ROUND(B553/B115,0)</f>
        <v>5</v>
      </c>
      <c r="C554" s="333">
        <f t="shared" si="315"/>
        <v>5</v>
      </c>
      <c r="D554" s="333">
        <f t="shared" si="315"/>
        <v>5</v>
      </c>
      <c r="E554" s="333">
        <f t="shared" si="315"/>
        <v>5</v>
      </c>
      <c r="F554" s="333">
        <f t="shared" si="315"/>
        <v>5</v>
      </c>
      <c r="G554" s="333">
        <f t="shared" si="315"/>
        <v>5</v>
      </c>
      <c r="H554" s="333">
        <f t="shared" si="315"/>
        <v>5</v>
      </c>
      <c r="I554" s="416"/>
      <c r="J554" s="416"/>
      <c r="K554" s="416"/>
    </row>
    <row r="555" spans="1:11">
      <c r="A555" s="317"/>
      <c r="B555" s="317"/>
      <c r="C555" s="317"/>
      <c r="D555" s="345"/>
      <c r="E555" s="345"/>
      <c r="F555" s="345"/>
      <c r="G555" s="345"/>
      <c r="H555" s="345"/>
      <c r="I555" s="416"/>
      <c r="J555" s="416"/>
      <c r="K555" s="416"/>
    </row>
    <row r="556" spans="1:11">
      <c r="A556" s="316" t="s">
        <v>740</v>
      </c>
      <c r="B556" s="317"/>
      <c r="C556" s="317"/>
      <c r="D556" s="345"/>
      <c r="E556" s="345"/>
      <c r="F556" s="345"/>
      <c r="G556" s="345"/>
      <c r="H556" s="345"/>
      <c r="I556" s="416"/>
      <c r="J556" s="416"/>
      <c r="K556" s="416"/>
    </row>
    <row r="557" spans="1:11">
      <c r="A557" s="316" t="s">
        <v>741</v>
      </c>
      <c r="B557" s="330">
        <f>+B485</f>
        <v>15000</v>
      </c>
      <c r="C557" s="330">
        <f t="shared" ref="C557:H557" si="316">+C485</f>
        <v>15750</v>
      </c>
      <c r="D557" s="330">
        <f t="shared" si="316"/>
        <v>16537.5</v>
      </c>
      <c r="E557" s="330">
        <f t="shared" si="316"/>
        <v>17364.375</v>
      </c>
      <c r="F557" s="330">
        <f t="shared" si="316"/>
        <v>18232.59375</v>
      </c>
      <c r="G557" s="330">
        <f t="shared" si="316"/>
        <v>19144.223437500001</v>
      </c>
      <c r="H557" s="330">
        <f t="shared" si="316"/>
        <v>20101.434609375003</v>
      </c>
      <c r="I557" s="416"/>
      <c r="J557" s="416"/>
      <c r="K557" s="416"/>
    </row>
    <row r="558" spans="1:11">
      <c r="A558" s="316"/>
      <c r="B558" s="330"/>
      <c r="C558" s="409"/>
      <c r="D558" s="345"/>
      <c r="E558" s="345"/>
      <c r="F558" s="345"/>
      <c r="G558" s="345"/>
      <c r="H558" s="345"/>
      <c r="I558" s="416"/>
      <c r="J558" s="416"/>
      <c r="K558" s="416"/>
    </row>
    <row r="559" spans="1:11">
      <c r="A559" s="318" t="s">
        <v>742</v>
      </c>
      <c r="B559" s="410">
        <f>+B551*B557/100000</f>
        <v>0</v>
      </c>
      <c r="C559" s="342">
        <f t="shared" ref="C559" si="317">+B560</f>
        <v>0.75</v>
      </c>
      <c r="D559" s="342">
        <f t="shared" ref="D559" si="318">+C560</f>
        <v>0.78749999999999998</v>
      </c>
      <c r="E559" s="342">
        <f t="shared" ref="E559" si="319">+D560</f>
        <v>0.82687500000000003</v>
      </c>
      <c r="F559" s="342">
        <f t="shared" ref="F559" si="320">+E560</f>
        <v>0.86821875000000004</v>
      </c>
      <c r="G559" s="342">
        <f t="shared" ref="G559" si="321">+F560</f>
        <v>0.91162968749999995</v>
      </c>
      <c r="H559" s="342">
        <f t="shared" ref="H559" si="322">+G560</f>
        <v>0.95721117187500004</v>
      </c>
      <c r="I559" s="416"/>
      <c r="J559" s="416"/>
      <c r="K559" s="416"/>
    </row>
    <row r="560" spans="1:11">
      <c r="A560" s="318" t="s">
        <v>743</v>
      </c>
      <c r="B560" s="342">
        <f t="shared" ref="B560:H560" si="323">+B554*B557/100000</f>
        <v>0.75</v>
      </c>
      <c r="C560" s="342">
        <f t="shared" si="323"/>
        <v>0.78749999999999998</v>
      </c>
      <c r="D560" s="342">
        <f t="shared" si="323"/>
        <v>0.82687500000000003</v>
      </c>
      <c r="E560" s="342">
        <f t="shared" si="323"/>
        <v>0.86821875000000004</v>
      </c>
      <c r="F560" s="342">
        <f t="shared" si="323"/>
        <v>0.91162968749999995</v>
      </c>
      <c r="G560" s="342">
        <f t="shared" si="323"/>
        <v>0.95721117187500004</v>
      </c>
      <c r="H560" s="342">
        <f t="shared" si="323"/>
        <v>1.0050717304687502</v>
      </c>
      <c r="I560" s="416"/>
      <c r="J560" s="416"/>
      <c r="K560" s="416"/>
    </row>
    <row r="561" spans="1:11">
      <c r="A561" s="318"/>
      <c r="B561" s="342"/>
      <c r="C561" s="342"/>
      <c r="D561" s="342"/>
      <c r="E561" s="342"/>
      <c r="F561" s="342"/>
      <c r="G561" s="342"/>
      <c r="H561" s="342"/>
      <c r="I561" s="416"/>
      <c r="J561" s="416"/>
      <c r="K561" s="416"/>
    </row>
    <row r="562" spans="1:11" hidden="1">
      <c r="A562" s="316" t="str">
        <f>+'Input Sheet'!B72</f>
        <v>Corn</v>
      </c>
      <c r="B562" s="333"/>
      <c r="C562" s="333"/>
      <c r="D562" s="391"/>
      <c r="E562" s="391"/>
      <c r="F562" s="391"/>
      <c r="G562" s="345"/>
      <c r="H562" s="345"/>
      <c r="I562" s="445"/>
      <c r="J562" s="445"/>
      <c r="K562" s="412"/>
    </row>
    <row r="563" spans="1:11" hidden="1">
      <c r="A563" s="333" t="s">
        <v>354</v>
      </c>
      <c r="B563" s="333">
        <v>0</v>
      </c>
      <c r="C563" s="333">
        <f t="shared" ref="C563:H563" si="324">B566</f>
        <v>0</v>
      </c>
      <c r="D563" s="391">
        <f t="shared" si="324"/>
        <v>0</v>
      </c>
      <c r="E563" s="391">
        <f t="shared" si="324"/>
        <v>0</v>
      </c>
      <c r="F563" s="391">
        <f t="shared" si="324"/>
        <v>0</v>
      </c>
      <c r="G563" s="391">
        <f t="shared" si="324"/>
        <v>0</v>
      </c>
      <c r="H563" s="391">
        <f t="shared" si="324"/>
        <v>0</v>
      </c>
      <c r="I563" s="446"/>
      <c r="J563" s="446"/>
      <c r="K563" s="413"/>
    </row>
    <row r="564" spans="1:11" hidden="1">
      <c r="A564" s="333" t="s">
        <v>737</v>
      </c>
      <c r="B564" s="334">
        <f t="shared" ref="B564:H564" si="325">SUM(B565:B566)-B563</f>
        <v>0</v>
      </c>
      <c r="C564" s="334">
        <f t="shared" si="325"/>
        <v>0</v>
      </c>
      <c r="D564" s="391">
        <f t="shared" si="325"/>
        <v>0</v>
      </c>
      <c r="E564" s="391">
        <f t="shared" si="325"/>
        <v>0</v>
      </c>
      <c r="F564" s="391">
        <f t="shared" si="325"/>
        <v>0</v>
      </c>
      <c r="G564" s="391">
        <f t="shared" si="325"/>
        <v>0</v>
      </c>
      <c r="H564" s="391">
        <f t="shared" si="325"/>
        <v>0</v>
      </c>
      <c r="I564" s="446"/>
      <c r="J564" s="446"/>
      <c r="K564" s="414"/>
    </row>
    <row r="565" spans="1:11" hidden="1">
      <c r="A565" s="333" t="s">
        <v>738</v>
      </c>
      <c r="B565" s="334">
        <f t="shared" ref="B565:H565" si="326">+B71</f>
        <v>0</v>
      </c>
      <c r="C565" s="334">
        <f t="shared" si="326"/>
        <v>0</v>
      </c>
      <c r="D565" s="391">
        <f t="shared" si="326"/>
        <v>0</v>
      </c>
      <c r="E565" s="391">
        <f t="shared" si="326"/>
        <v>0</v>
      </c>
      <c r="F565" s="391">
        <f t="shared" si="326"/>
        <v>0</v>
      </c>
      <c r="G565" s="391">
        <f t="shared" si="326"/>
        <v>0</v>
      </c>
      <c r="H565" s="391">
        <f t="shared" si="326"/>
        <v>0</v>
      </c>
      <c r="I565" s="446"/>
      <c r="J565" s="446"/>
      <c r="K565" s="414"/>
    </row>
    <row r="566" spans="1:11" hidden="1">
      <c r="A566" s="333" t="s">
        <v>739</v>
      </c>
      <c r="B566" s="333">
        <f t="shared" ref="B566:H566" si="327">ROUND(B565/B119,0)</f>
        <v>0</v>
      </c>
      <c r="C566" s="333">
        <f t="shared" si="327"/>
        <v>0</v>
      </c>
      <c r="D566" s="391">
        <f t="shared" si="327"/>
        <v>0</v>
      </c>
      <c r="E566" s="391">
        <f t="shared" si="327"/>
        <v>0</v>
      </c>
      <c r="F566" s="391">
        <f t="shared" si="327"/>
        <v>0</v>
      </c>
      <c r="G566" s="391">
        <f t="shared" si="327"/>
        <v>0</v>
      </c>
      <c r="H566" s="391">
        <f t="shared" si="327"/>
        <v>0</v>
      </c>
      <c r="I566" s="446"/>
      <c r="J566" s="446"/>
      <c r="K566" s="413"/>
    </row>
    <row r="567" spans="1:11" hidden="1">
      <c r="A567" s="317"/>
      <c r="B567" s="317"/>
      <c r="C567" s="317"/>
      <c r="D567" s="345"/>
      <c r="E567" s="345"/>
      <c r="F567" s="345"/>
      <c r="G567" s="345"/>
      <c r="H567" s="345"/>
      <c r="I567" s="445"/>
      <c r="J567" s="445"/>
      <c r="K567" s="412"/>
    </row>
    <row r="568" spans="1:11" hidden="1">
      <c r="A568" s="316" t="s">
        <v>740</v>
      </c>
      <c r="B568" s="317"/>
      <c r="C568" s="317"/>
      <c r="D568" s="345"/>
      <c r="E568" s="345"/>
      <c r="F568" s="345"/>
      <c r="G568" s="345"/>
      <c r="H568" s="345"/>
      <c r="I568" s="445"/>
      <c r="J568" s="445"/>
      <c r="K568" s="412"/>
    </row>
    <row r="569" spans="1:11" hidden="1">
      <c r="A569" s="316" t="s">
        <v>741</v>
      </c>
      <c r="B569" s="599">
        <f>+'Input Sheet'!C72</f>
        <v>15000</v>
      </c>
      <c r="C569" s="599">
        <f>+'Input Sheet'!D72</f>
        <v>15750</v>
      </c>
      <c r="D569" s="599">
        <f>+'Input Sheet'!E72</f>
        <v>16540</v>
      </c>
      <c r="E569" s="599">
        <f>+'Input Sheet'!F72</f>
        <v>17370</v>
      </c>
      <c r="F569" s="599">
        <f>+'Input Sheet'!G72</f>
        <v>18240</v>
      </c>
      <c r="G569" s="599">
        <f>+'Input Sheet'!H72</f>
        <v>19150</v>
      </c>
      <c r="H569" s="599">
        <f>+'Input Sheet'!I72</f>
        <v>20110</v>
      </c>
      <c r="I569" s="445"/>
      <c r="J569" s="445"/>
      <c r="K569" s="415"/>
    </row>
    <row r="570" spans="1:11" hidden="1">
      <c r="A570" s="316"/>
      <c r="B570" s="330"/>
      <c r="C570" s="409"/>
      <c r="D570" s="345"/>
      <c r="E570" s="345"/>
      <c r="F570" s="345"/>
      <c r="G570" s="345"/>
      <c r="H570" s="345"/>
      <c r="I570" s="445"/>
      <c r="J570" s="445"/>
      <c r="K570" s="415"/>
    </row>
    <row r="571" spans="1:11" hidden="1">
      <c r="A571" s="318" t="s">
        <v>742</v>
      </c>
      <c r="B571" s="410">
        <f>+B563*B569/100000</f>
        <v>0</v>
      </c>
      <c r="C571" s="342">
        <f t="shared" ref="C571:H571" si="328">+B572</f>
        <v>0</v>
      </c>
      <c r="D571" s="342">
        <f t="shared" si="328"/>
        <v>0</v>
      </c>
      <c r="E571" s="342">
        <f t="shared" si="328"/>
        <v>0</v>
      </c>
      <c r="F571" s="342">
        <f t="shared" si="328"/>
        <v>0</v>
      </c>
      <c r="G571" s="342">
        <f t="shared" si="328"/>
        <v>0</v>
      </c>
      <c r="H571" s="342">
        <f t="shared" si="328"/>
        <v>0</v>
      </c>
      <c r="I571" s="416"/>
      <c r="J571" s="416"/>
      <c r="K571" s="416"/>
    </row>
    <row r="572" spans="1:11" hidden="1">
      <c r="A572" s="318" t="s">
        <v>743</v>
      </c>
      <c r="B572" s="342">
        <f t="shared" ref="B572:H572" si="329">+B566*B569/100000</f>
        <v>0</v>
      </c>
      <c r="C572" s="342">
        <f t="shared" si="329"/>
        <v>0</v>
      </c>
      <c r="D572" s="342">
        <f t="shared" si="329"/>
        <v>0</v>
      </c>
      <c r="E572" s="342">
        <f t="shared" si="329"/>
        <v>0</v>
      </c>
      <c r="F572" s="342">
        <f t="shared" si="329"/>
        <v>0</v>
      </c>
      <c r="G572" s="342">
        <f t="shared" si="329"/>
        <v>0</v>
      </c>
      <c r="H572" s="342">
        <f t="shared" si="329"/>
        <v>0</v>
      </c>
      <c r="I572" s="416"/>
      <c r="J572" s="416"/>
      <c r="K572" s="416"/>
    </row>
    <row r="573" spans="1:11" hidden="1">
      <c r="A573" s="317"/>
      <c r="B573" s="317"/>
      <c r="C573" s="317"/>
      <c r="D573" s="345"/>
      <c r="E573" s="345"/>
      <c r="F573" s="345"/>
      <c r="G573" s="345"/>
      <c r="H573" s="345"/>
      <c r="I573" s="445"/>
      <c r="J573" s="445"/>
      <c r="K573" s="412"/>
    </row>
    <row r="574" spans="1:11" hidden="1">
      <c r="A574" s="316" t="str">
        <f>+'Input Sheet'!B73</f>
        <v>Chilli</v>
      </c>
      <c r="B574" s="333"/>
      <c r="C574" s="333"/>
      <c r="D574" s="391"/>
      <c r="E574" s="391"/>
      <c r="F574" s="391"/>
      <c r="G574" s="345"/>
      <c r="H574" s="345"/>
      <c r="I574" s="445"/>
      <c r="J574" s="445"/>
      <c r="K574" s="412"/>
    </row>
    <row r="575" spans="1:11" hidden="1">
      <c r="A575" s="333" t="s">
        <v>354</v>
      </c>
      <c r="B575" s="333">
        <v>0</v>
      </c>
      <c r="C575" s="333">
        <f t="shared" ref="C575:H575" si="330">B578</f>
        <v>0</v>
      </c>
      <c r="D575" s="391">
        <f t="shared" si="330"/>
        <v>0</v>
      </c>
      <c r="E575" s="391">
        <f t="shared" si="330"/>
        <v>0</v>
      </c>
      <c r="F575" s="391">
        <f t="shared" si="330"/>
        <v>0</v>
      </c>
      <c r="G575" s="391">
        <f t="shared" si="330"/>
        <v>0</v>
      </c>
      <c r="H575" s="391">
        <f t="shared" si="330"/>
        <v>0</v>
      </c>
      <c r="I575" s="446"/>
      <c r="J575" s="446"/>
      <c r="K575" s="413"/>
    </row>
    <row r="576" spans="1:11" hidden="1">
      <c r="A576" s="333" t="s">
        <v>737</v>
      </c>
      <c r="B576" s="334">
        <f t="shared" ref="B576:H576" si="331">SUM(B577:B578)-B575</f>
        <v>0</v>
      </c>
      <c r="C576" s="334">
        <f t="shared" si="331"/>
        <v>0</v>
      </c>
      <c r="D576" s="391">
        <f t="shared" si="331"/>
        <v>0</v>
      </c>
      <c r="E576" s="391">
        <f t="shared" si="331"/>
        <v>0</v>
      </c>
      <c r="F576" s="391">
        <f t="shared" si="331"/>
        <v>0</v>
      </c>
      <c r="G576" s="391">
        <f t="shared" si="331"/>
        <v>0</v>
      </c>
      <c r="H576" s="391">
        <f t="shared" si="331"/>
        <v>0</v>
      </c>
      <c r="I576" s="446"/>
      <c r="J576" s="446"/>
      <c r="K576" s="414"/>
    </row>
    <row r="577" spans="1:12" hidden="1">
      <c r="A577" s="333" t="s">
        <v>738</v>
      </c>
      <c r="B577" s="334">
        <f t="shared" ref="B577:H577" si="332">+B72</f>
        <v>0</v>
      </c>
      <c r="C577" s="334">
        <f t="shared" si="332"/>
        <v>0</v>
      </c>
      <c r="D577" s="391">
        <f t="shared" si="332"/>
        <v>0</v>
      </c>
      <c r="E577" s="391">
        <f t="shared" si="332"/>
        <v>0</v>
      </c>
      <c r="F577" s="391">
        <f t="shared" si="332"/>
        <v>0</v>
      </c>
      <c r="G577" s="391">
        <f t="shared" si="332"/>
        <v>0</v>
      </c>
      <c r="H577" s="391">
        <f t="shared" si="332"/>
        <v>0</v>
      </c>
      <c r="I577" s="446"/>
      <c r="J577" s="446"/>
      <c r="K577" s="414"/>
    </row>
    <row r="578" spans="1:12" hidden="1">
      <c r="A578" s="333" t="s">
        <v>739</v>
      </c>
      <c r="B578" s="333">
        <f t="shared" ref="B578:H578" si="333">ROUND(B577/B119,0)</f>
        <v>0</v>
      </c>
      <c r="C578" s="333">
        <f t="shared" si="333"/>
        <v>0</v>
      </c>
      <c r="D578" s="391">
        <f t="shared" si="333"/>
        <v>0</v>
      </c>
      <c r="E578" s="391">
        <f t="shared" si="333"/>
        <v>0</v>
      </c>
      <c r="F578" s="391">
        <f t="shared" si="333"/>
        <v>0</v>
      </c>
      <c r="G578" s="391">
        <f t="shared" si="333"/>
        <v>0</v>
      </c>
      <c r="H578" s="391">
        <f t="shared" si="333"/>
        <v>0</v>
      </c>
      <c r="I578" s="446"/>
      <c r="J578" s="446"/>
      <c r="K578" s="413"/>
    </row>
    <row r="579" spans="1:12" hidden="1">
      <c r="A579" s="317"/>
      <c r="B579" s="317"/>
      <c r="C579" s="317"/>
      <c r="D579" s="345"/>
      <c r="E579" s="345"/>
      <c r="F579" s="345"/>
      <c r="G579" s="345"/>
      <c r="H579" s="345"/>
      <c r="I579" s="445"/>
      <c r="J579" s="445"/>
      <c r="K579" s="412"/>
    </row>
    <row r="580" spans="1:12" hidden="1">
      <c r="A580" s="316" t="s">
        <v>740</v>
      </c>
      <c r="B580" s="317"/>
      <c r="C580" s="317"/>
      <c r="D580" s="345"/>
      <c r="E580" s="345"/>
      <c r="F580" s="345"/>
      <c r="G580" s="345"/>
      <c r="H580" s="345"/>
      <c r="I580" s="445"/>
      <c r="J580" s="445"/>
      <c r="K580" s="412"/>
    </row>
    <row r="581" spans="1:12" hidden="1">
      <c r="A581" s="316" t="s">
        <v>741</v>
      </c>
      <c r="B581" s="599">
        <f>+'Input Sheet'!C73</f>
        <v>0</v>
      </c>
      <c r="C581" s="599">
        <f>+'Input Sheet'!D73</f>
        <v>0</v>
      </c>
      <c r="D581" s="599">
        <f>+'Input Sheet'!E73</f>
        <v>0</v>
      </c>
      <c r="E581" s="599">
        <f>+'Input Sheet'!F73</f>
        <v>0</v>
      </c>
      <c r="F581" s="599">
        <f>+'Input Sheet'!G73</f>
        <v>0</v>
      </c>
      <c r="G581" s="599">
        <f>+'Input Sheet'!H73</f>
        <v>0</v>
      </c>
      <c r="H581" s="599">
        <f>+'Input Sheet'!I73</f>
        <v>0</v>
      </c>
      <c r="I581" s="445"/>
      <c r="J581" s="445"/>
      <c r="K581" s="415"/>
    </row>
    <row r="582" spans="1:12" hidden="1">
      <c r="A582" s="316"/>
      <c r="B582" s="330"/>
      <c r="C582" s="409"/>
      <c r="D582" s="345"/>
      <c r="E582" s="345"/>
      <c r="F582" s="345"/>
      <c r="G582" s="345"/>
      <c r="H582" s="345"/>
      <c r="I582" s="445"/>
      <c r="J582" s="445"/>
      <c r="K582" s="415"/>
    </row>
    <row r="583" spans="1:12" hidden="1">
      <c r="A583" s="318" t="s">
        <v>742</v>
      </c>
      <c r="B583" s="410">
        <f>+B575*B581/100000</f>
        <v>0</v>
      </c>
      <c r="C583" s="342">
        <f t="shared" ref="C583:H583" si="334">+B584</f>
        <v>0</v>
      </c>
      <c r="D583" s="342">
        <f t="shared" si="334"/>
        <v>0</v>
      </c>
      <c r="E583" s="342">
        <f t="shared" si="334"/>
        <v>0</v>
      </c>
      <c r="F583" s="342">
        <f t="shared" si="334"/>
        <v>0</v>
      </c>
      <c r="G583" s="342">
        <f t="shared" si="334"/>
        <v>0</v>
      </c>
      <c r="H583" s="342">
        <f t="shared" si="334"/>
        <v>0</v>
      </c>
      <c r="I583" s="416"/>
      <c r="J583" s="416"/>
      <c r="K583" s="416"/>
    </row>
    <row r="584" spans="1:12" hidden="1">
      <c r="A584" s="318" t="s">
        <v>743</v>
      </c>
      <c r="B584" s="342">
        <f t="shared" ref="B584:H584" si="335">+B578*B581/100000</f>
        <v>0</v>
      </c>
      <c r="C584" s="342">
        <f t="shared" si="335"/>
        <v>0</v>
      </c>
      <c r="D584" s="342">
        <f t="shared" si="335"/>
        <v>0</v>
      </c>
      <c r="E584" s="342">
        <f t="shared" si="335"/>
        <v>0</v>
      </c>
      <c r="F584" s="342">
        <f t="shared" si="335"/>
        <v>0</v>
      </c>
      <c r="G584" s="342">
        <f t="shared" si="335"/>
        <v>0</v>
      </c>
      <c r="H584" s="342">
        <f t="shared" si="335"/>
        <v>0</v>
      </c>
      <c r="I584" s="416"/>
      <c r="J584" s="416"/>
      <c r="K584" s="416"/>
    </row>
    <row r="585" spans="1:12">
      <c r="A585" s="317"/>
      <c r="B585" s="317"/>
      <c r="C585" s="317"/>
      <c r="D585" s="345"/>
      <c r="E585" s="345"/>
      <c r="F585" s="345"/>
      <c r="G585" s="345"/>
      <c r="H585" s="345"/>
      <c r="I585" s="445"/>
      <c r="J585" s="445"/>
      <c r="K585" s="412"/>
    </row>
    <row r="586" spans="1:12">
      <c r="A586" s="316" t="s">
        <v>665</v>
      </c>
      <c r="B586" s="341">
        <f>+B523+B535</f>
        <v>0</v>
      </c>
      <c r="C586" s="341">
        <f t="shared" ref="C586:H586" si="336">B587</f>
        <v>1.35</v>
      </c>
      <c r="D586" s="431">
        <f t="shared" si="336"/>
        <v>1.4175</v>
      </c>
      <c r="E586" s="431">
        <f t="shared" si="336"/>
        <v>1.488375</v>
      </c>
      <c r="F586" s="431">
        <f t="shared" si="336"/>
        <v>1.5628187499999999</v>
      </c>
      <c r="G586" s="431">
        <f t="shared" si="336"/>
        <v>1.6409296874999999</v>
      </c>
      <c r="H586" s="431">
        <f t="shared" si="336"/>
        <v>1.7230111718750001</v>
      </c>
      <c r="I586" s="447"/>
      <c r="J586" s="447"/>
      <c r="K586" s="417"/>
    </row>
    <row r="587" spans="1:12">
      <c r="A587" s="316" t="s">
        <v>666</v>
      </c>
      <c r="B587" s="341">
        <f t="shared" ref="B587:H587" si="337">+B524+B536+B548+B572+B584+B560</f>
        <v>1.35</v>
      </c>
      <c r="C587" s="341">
        <f t="shared" si="337"/>
        <v>1.4175</v>
      </c>
      <c r="D587" s="341">
        <f t="shared" si="337"/>
        <v>1.488375</v>
      </c>
      <c r="E587" s="341">
        <f t="shared" si="337"/>
        <v>1.5628187499999999</v>
      </c>
      <c r="F587" s="341">
        <f t="shared" si="337"/>
        <v>1.6409296874999999</v>
      </c>
      <c r="G587" s="341">
        <f t="shared" si="337"/>
        <v>1.7230111718750001</v>
      </c>
      <c r="H587" s="341">
        <f t="shared" si="337"/>
        <v>1.8091717304687502</v>
      </c>
      <c r="I587" s="447"/>
      <c r="J587" s="447"/>
      <c r="K587" s="417"/>
    </row>
    <row r="590" spans="1:12" ht="18.75" hidden="1">
      <c r="A590" s="605" t="s">
        <v>853</v>
      </c>
      <c r="D590"/>
      <c r="E590"/>
      <c r="F590"/>
      <c r="G590"/>
      <c r="H590"/>
      <c r="I590"/>
      <c r="J590"/>
    </row>
    <row r="591" spans="1:12" hidden="1">
      <c r="D591"/>
      <c r="E591"/>
      <c r="F591"/>
      <c r="G591"/>
      <c r="H591"/>
      <c r="I591"/>
      <c r="J591"/>
    </row>
    <row r="592" spans="1:12" hidden="1">
      <c r="A592" s="602" t="s">
        <v>656</v>
      </c>
      <c r="B592" s="326" t="s">
        <v>0</v>
      </c>
      <c r="C592" s="603" t="s">
        <v>2</v>
      </c>
      <c r="D592" s="603" t="s">
        <v>3</v>
      </c>
      <c r="E592" s="603" t="s">
        <v>4</v>
      </c>
      <c r="F592" s="603" t="s">
        <v>5</v>
      </c>
      <c r="G592" s="603" t="s">
        <v>6</v>
      </c>
      <c r="H592" s="603" t="s">
        <v>163</v>
      </c>
      <c r="I592" s="606" t="s">
        <v>162</v>
      </c>
      <c r="J592" s="609">
        <v>5</v>
      </c>
      <c r="K592" s="404"/>
      <c r="L592" s="404"/>
    </row>
    <row r="593" spans="1:12" hidden="1">
      <c r="A593" s="339" t="s">
        <v>167</v>
      </c>
      <c r="B593" s="316" t="s">
        <v>854</v>
      </c>
      <c r="C593" s="333">
        <f>+'Input Sheet'!D182</f>
        <v>0</v>
      </c>
      <c r="D593" s="333">
        <f>+'Input Sheet'!E182</f>
        <v>0</v>
      </c>
      <c r="E593" s="333">
        <f>+'Input Sheet'!F182</f>
        <v>0</v>
      </c>
      <c r="F593" s="333">
        <f>+'Input Sheet'!G182</f>
        <v>0</v>
      </c>
      <c r="G593" s="333">
        <f>+'Input Sheet'!H182</f>
        <v>0</v>
      </c>
      <c r="H593" s="333">
        <f>+'Input Sheet'!I182</f>
        <v>0</v>
      </c>
      <c r="I593" s="333">
        <f>+'Input Sheet'!J182</f>
        <v>0</v>
      </c>
      <c r="J593" s="610"/>
      <c r="K593" s="405"/>
      <c r="L593" s="405"/>
    </row>
    <row r="594" spans="1:12" hidden="1">
      <c r="A594" s="317"/>
      <c r="B594" s="333" t="s">
        <v>855</v>
      </c>
      <c r="C594" s="340">
        <f t="shared" ref="C594:I594" si="338">+B122</f>
        <v>165</v>
      </c>
      <c r="D594" s="340">
        <f t="shared" si="338"/>
        <v>180</v>
      </c>
      <c r="E594" s="340">
        <f t="shared" si="338"/>
        <v>195</v>
      </c>
      <c r="F594" s="340">
        <f t="shared" si="338"/>
        <v>211</v>
      </c>
      <c r="G594" s="340">
        <f t="shared" si="338"/>
        <v>225</v>
      </c>
      <c r="H594" s="340">
        <f t="shared" si="338"/>
        <v>240</v>
      </c>
      <c r="I594" s="340">
        <f t="shared" si="338"/>
        <v>255</v>
      </c>
      <c r="J594" s="611"/>
      <c r="K594" s="406"/>
      <c r="L594" s="406"/>
    </row>
    <row r="595" spans="1:12" hidden="1">
      <c r="A595" s="317"/>
      <c r="B595" s="333" t="s">
        <v>856</v>
      </c>
      <c r="C595" s="340">
        <f>+'Input Sheet'!D183</f>
        <v>0</v>
      </c>
      <c r="D595" s="340">
        <f>+'Input Sheet'!E183</f>
        <v>0</v>
      </c>
      <c r="E595" s="340">
        <f>+'Input Sheet'!F183</f>
        <v>0</v>
      </c>
      <c r="F595" s="340">
        <f>+'Input Sheet'!G183</f>
        <v>0</v>
      </c>
      <c r="G595" s="340">
        <f>+'Input Sheet'!H183</f>
        <v>0</v>
      </c>
      <c r="H595" s="340">
        <f>+'Input Sheet'!I183</f>
        <v>0</v>
      </c>
      <c r="I595" s="340">
        <f>+'Input Sheet'!J183</f>
        <v>0</v>
      </c>
      <c r="J595" s="611"/>
      <c r="K595" s="406"/>
      <c r="L595" s="406"/>
    </row>
    <row r="596" spans="1:12" hidden="1">
      <c r="A596" s="317"/>
      <c r="B596" s="316" t="s">
        <v>124</v>
      </c>
      <c r="C596" s="341">
        <f>+C593*C594*C595/100000</f>
        <v>0</v>
      </c>
      <c r="D596" s="341">
        <f t="shared" ref="D596:I596" si="339">+D593*D594*D595/100000</f>
        <v>0</v>
      </c>
      <c r="E596" s="341">
        <f t="shared" si="339"/>
        <v>0</v>
      </c>
      <c r="F596" s="341">
        <f t="shared" si="339"/>
        <v>0</v>
      </c>
      <c r="G596" s="341">
        <f t="shared" si="339"/>
        <v>0</v>
      </c>
      <c r="H596" s="341">
        <f t="shared" si="339"/>
        <v>0</v>
      </c>
      <c r="I596" s="341">
        <f t="shared" si="339"/>
        <v>0</v>
      </c>
      <c r="J596" s="612"/>
      <c r="K596" s="408"/>
      <c r="L596" s="408"/>
    </row>
    <row r="597" spans="1:12" hidden="1">
      <c r="A597" s="317"/>
      <c r="B597" s="316"/>
      <c r="C597" s="341"/>
      <c r="D597" s="341"/>
      <c r="E597" s="341"/>
      <c r="F597" s="341"/>
      <c r="G597" s="341"/>
      <c r="H597" s="341"/>
      <c r="I597" s="341"/>
      <c r="J597" s="612"/>
      <c r="K597" s="408"/>
      <c r="L597" s="408"/>
    </row>
    <row r="598" spans="1:12" hidden="1">
      <c r="A598" s="339" t="s">
        <v>168</v>
      </c>
      <c r="B598" s="316" t="s">
        <v>857</v>
      </c>
      <c r="C598" s="333">
        <v>10</v>
      </c>
      <c r="D598" s="333">
        <f>+ROUND(C598*1.05,)</f>
        <v>11</v>
      </c>
      <c r="E598" s="333">
        <f t="shared" ref="E598:I598" si="340">+ROUND(D598*1.05,)</f>
        <v>12</v>
      </c>
      <c r="F598" s="333">
        <f t="shared" si="340"/>
        <v>13</v>
      </c>
      <c r="G598" s="333">
        <f t="shared" si="340"/>
        <v>14</v>
      </c>
      <c r="H598" s="333">
        <f t="shared" si="340"/>
        <v>15</v>
      </c>
      <c r="I598" s="333">
        <f t="shared" si="340"/>
        <v>16</v>
      </c>
      <c r="J598" s="610"/>
      <c r="K598" s="405"/>
      <c r="L598" s="405"/>
    </row>
    <row r="599" spans="1:12" hidden="1">
      <c r="A599" s="317"/>
      <c r="B599" s="333" t="s">
        <v>855</v>
      </c>
      <c r="C599" s="340">
        <f>+C594</f>
        <v>165</v>
      </c>
      <c r="D599" s="340">
        <f t="shared" ref="D599:I599" si="341">+D594</f>
        <v>180</v>
      </c>
      <c r="E599" s="340">
        <f t="shared" si="341"/>
        <v>195</v>
      </c>
      <c r="F599" s="340">
        <f t="shared" si="341"/>
        <v>211</v>
      </c>
      <c r="G599" s="340">
        <f t="shared" si="341"/>
        <v>225</v>
      </c>
      <c r="H599" s="340">
        <f t="shared" si="341"/>
        <v>240</v>
      </c>
      <c r="I599" s="340">
        <f t="shared" si="341"/>
        <v>255</v>
      </c>
      <c r="J599" s="611"/>
      <c r="K599" s="406"/>
      <c r="L599" s="406"/>
    </row>
    <row r="600" spans="1:12" hidden="1">
      <c r="A600" s="317"/>
      <c r="B600" s="333" t="s">
        <v>856</v>
      </c>
      <c r="C600" s="340">
        <f>+'Input Sheet'!D186</f>
        <v>0</v>
      </c>
      <c r="D600" s="340">
        <f>+'Input Sheet'!E186</f>
        <v>0</v>
      </c>
      <c r="E600" s="340">
        <f>+'Input Sheet'!F186</f>
        <v>0</v>
      </c>
      <c r="F600" s="340">
        <f>+'Input Sheet'!G186</f>
        <v>0</v>
      </c>
      <c r="G600" s="340">
        <f>+'Input Sheet'!H186</f>
        <v>0</v>
      </c>
      <c r="H600" s="340">
        <f>+'Input Sheet'!I186</f>
        <v>0</v>
      </c>
      <c r="I600" s="340">
        <f>+'Input Sheet'!J186</f>
        <v>0</v>
      </c>
      <c r="J600" s="611"/>
      <c r="K600" s="406"/>
      <c r="L600" s="406"/>
    </row>
    <row r="601" spans="1:12" hidden="1">
      <c r="A601" s="317"/>
      <c r="B601" s="316" t="s">
        <v>124</v>
      </c>
      <c r="C601" s="341">
        <f>+C598*C599*C600/100000</f>
        <v>0</v>
      </c>
      <c r="D601" s="341">
        <f t="shared" ref="D601:I601" si="342">+D598*D599*D600/100000</f>
        <v>0</v>
      </c>
      <c r="E601" s="341">
        <f t="shared" si="342"/>
        <v>0</v>
      </c>
      <c r="F601" s="341">
        <f t="shared" si="342"/>
        <v>0</v>
      </c>
      <c r="G601" s="341">
        <f t="shared" si="342"/>
        <v>0</v>
      </c>
      <c r="H601" s="341">
        <f t="shared" si="342"/>
        <v>0</v>
      </c>
      <c r="I601" s="341">
        <f t="shared" si="342"/>
        <v>0</v>
      </c>
      <c r="J601" s="612"/>
      <c r="K601" s="408"/>
      <c r="L601" s="408"/>
    </row>
    <row r="602" spans="1:12" hidden="1">
      <c r="A602" s="10"/>
      <c r="B602" s="10"/>
      <c r="C602" s="10"/>
      <c r="D602" s="10"/>
      <c r="E602" s="10"/>
      <c r="F602" s="10"/>
      <c r="G602" s="10"/>
      <c r="H602" s="10"/>
      <c r="I602" s="10"/>
      <c r="J602" s="454"/>
      <c r="K602" s="254"/>
      <c r="L602" s="254"/>
    </row>
    <row r="603" spans="1:12" hidden="1">
      <c r="A603" s="10"/>
      <c r="B603" s="2" t="s">
        <v>858</v>
      </c>
      <c r="C603" s="604">
        <f>+C596+C601</f>
        <v>0</v>
      </c>
      <c r="D603" s="604">
        <f t="shared" ref="D603:I603" si="343">+D596+D601</f>
        <v>0</v>
      </c>
      <c r="E603" s="604">
        <f t="shared" si="343"/>
        <v>0</v>
      </c>
      <c r="F603" s="604">
        <f t="shared" si="343"/>
        <v>0</v>
      </c>
      <c r="G603" s="604">
        <f t="shared" si="343"/>
        <v>0</v>
      </c>
      <c r="H603" s="604">
        <f t="shared" si="343"/>
        <v>0</v>
      </c>
      <c r="I603" s="604">
        <f t="shared" si="343"/>
        <v>0</v>
      </c>
      <c r="J603" s="613"/>
      <c r="K603" s="608"/>
      <c r="L603" s="608"/>
    </row>
    <row r="606" spans="1:12">
      <c r="A606" s="661" t="s">
        <v>350</v>
      </c>
      <c r="B606" s="662" t="s">
        <v>974</v>
      </c>
      <c r="C606" s="663" t="s">
        <v>975</v>
      </c>
      <c r="D606" s="768" t="s">
        <v>976</v>
      </c>
      <c r="E606" s="768" t="s">
        <v>977</v>
      </c>
      <c r="F606" s="770" t="s">
        <v>978</v>
      </c>
      <c r="G606" s="771"/>
      <c r="H606" s="771"/>
      <c r="I606" s="771"/>
      <c r="J606" s="771"/>
      <c r="K606" s="771"/>
      <c r="L606" s="771"/>
    </row>
    <row r="607" spans="1:12">
      <c r="A607" s="664" t="s">
        <v>979</v>
      </c>
      <c r="B607" s="664"/>
      <c r="C607" s="665" t="s">
        <v>980</v>
      </c>
      <c r="D607" s="769"/>
      <c r="E607" s="769"/>
      <c r="F607" s="666" t="s">
        <v>2</v>
      </c>
      <c r="G607" s="666" t="s">
        <v>3</v>
      </c>
      <c r="H607" s="666" t="s">
        <v>4</v>
      </c>
      <c r="I607" s="666" t="s">
        <v>5</v>
      </c>
      <c r="J607" s="666" t="s">
        <v>6</v>
      </c>
      <c r="K607" s="666" t="s">
        <v>163</v>
      </c>
      <c r="L607" s="666" t="s">
        <v>162</v>
      </c>
    </row>
    <row r="608" spans="1:12">
      <c r="A608" s="667" t="s">
        <v>981</v>
      </c>
      <c r="B608" s="395"/>
      <c r="C608" s="395"/>
      <c r="D608" s="395"/>
      <c r="E608" s="395"/>
      <c r="F608" s="668">
        <v>0.4</v>
      </c>
      <c r="G608" s="669">
        <v>0.5</v>
      </c>
      <c r="H608" s="669">
        <f t="shared" ref="H608:J608" si="344">+G608+5%</f>
        <v>0.55000000000000004</v>
      </c>
      <c r="I608" s="669">
        <f t="shared" si="344"/>
        <v>0.60000000000000009</v>
      </c>
      <c r="J608" s="669">
        <f t="shared" si="344"/>
        <v>0.65000000000000013</v>
      </c>
      <c r="K608" s="669">
        <f>+J608</f>
        <v>0.65000000000000013</v>
      </c>
      <c r="L608" s="669">
        <v>0.7</v>
      </c>
    </row>
    <row r="609" spans="1:12">
      <c r="A609" s="667" t="s">
        <v>982</v>
      </c>
      <c r="B609" s="395">
        <v>1</v>
      </c>
      <c r="C609" s="395">
        <v>1000</v>
      </c>
      <c r="D609" s="395">
        <v>2500</v>
      </c>
      <c r="E609" s="395" t="s">
        <v>983</v>
      </c>
      <c r="F609" s="395">
        <f>($B$609*$C$609*$D$609/100000)*F608</f>
        <v>10</v>
      </c>
      <c r="G609" s="395">
        <f t="shared" ref="G609:L609" si="345">($B$609*$C$609*$D$609/100000)*G608</f>
        <v>12.5</v>
      </c>
      <c r="H609" s="395">
        <f t="shared" si="345"/>
        <v>13.750000000000002</v>
      </c>
      <c r="I609" s="395">
        <f t="shared" si="345"/>
        <v>15.000000000000002</v>
      </c>
      <c r="J609" s="395">
        <f t="shared" si="345"/>
        <v>16.250000000000004</v>
      </c>
      <c r="K609" s="395">
        <f t="shared" si="345"/>
        <v>16.250000000000004</v>
      </c>
      <c r="L609" s="395">
        <f t="shared" si="345"/>
        <v>17.5</v>
      </c>
    </row>
    <row r="610" spans="1:12">
      <c r="A610" s="670" t="s">
        <v>138</v>
      </c>
      <c r="B610" s="670"/>
      <c r="C610" s="670"/>
      <c r="D610" s="670"/>
      <c r="E610" s="670"/>
      <c r="F610" s="671">
        <f t="shared" ref="F610:L610" si="346">SUM(F609:F609)</f>
        <v>10</v>
      </c>
      <c r="G610" s="671">
        <f t="shared" si="346"/>
        <v>12.5</v>
      </c>
      <c r="H610" s="671">
        <f t="shared" si="346"/>
        <v>13.750000000000002</v>
      </c>
      <c r="I610" s="671">
        <f t="shared" si="346"/>
        <v>15.000000000000002</v>
      </c>
      <c r="J610" s="671">
        <f t="shared" si="346"/>
        <v>16.250000000000004</v>
      </c>
      <c r="K610" s="671">
        <f t="shared" si="346"/>
        <v>16.250000000000004</v>
      </c>
      <c r="L610" s="671">
        <f t="shared" si="346"/>
        <v>17.5</v>
      </c>
    </row>
  </sheetData>
  <mergeCells count="10">
    <mergeCell ref="A3:H3"/>
    <mergeCell ref="A128:J128"/>
    <mergeCell ref="A4:H4"/>
    <mergeCell ref="A49:H49"/>
    <mergeCell ref="A14:H14"/>
    <mergeCell ref="D606:D607"/>
    <mergeCell ref="E606:E607"/>
    <mergeCell ref="F606:L606"/>
    <mergeCell ref="L128:U128"/>
    <mergeCell ref="A179:I179"/>
  </mergeCells>
  <pageMargins left="0.25" right="0.25" top="0.75" bottom="0.75" header="0.3" footer="0.3"/>
  <pageSetup paperSize="9" scale="50" fitToHeight="0" orientation="portrait" r:id="rId1"/>
  <rowBreaks count="2" manualBreakCount="2">
    <brk id="288" max="11" man="1"/>
    <brk id="499" max="16383" man="1"/>
  </rowBreaks>
  <colBreaks count="1" manualBreakCount="1">
    <brk id="10" max="184" man="1"/>
  </col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86"/>
  <sheetViews>
    <sheetView topLeftCell="A123" zoomScale="70" zoomScaleNormal="70" workbookViewId="0">
      <selection activeCell="G149" sqref="G149"/>
    </sheetView>
  </sheetViews>
  <sheetFormatPr defaultColWidth="9.140625" defaultRowHeight="15"/>
  <cols>
    <col min="1" max="1" width="4" style="575" bestFit="1" customWidth="1"/>
    <col min="2" max="2" width="76.28515625" style="571" bestFit="1" customWidth="1"/>
    <col min="3" max="3" width="23.7109375" style="571" bestFit="1" customWidth="1"/>
    <col min="4" max="4" width="19.85546875" style="571" bestFit="1" customWidth="1"/>
    <col min="5" max="12" width="12.28515625" style="571" bestFit="1" customWidth="1"/>
    <col min="13" max="16384" width="9.140625" style="571"/>
  </cols>
  <sheetData>
    <row r="1" spans="1:4">
      <c r="A1" s="569"/>
      <c r="B1" s="570" t="s">
        <v>808</v>
      </c>
    </row>
    <row r="2" spans="1:4">
      <c r="A2" s="572">
        <v>1</v>
      </c>
      <c r="B2" s="573" t="s">
        <v>809</v>
      </c>
    </row>
    <row r="3" spans="1:4">
      <c r="A3" s="574" t="s">
        <v>229</v>
      </c>
      <c r="B3" s="571" t="s">
        <v>810</v>
      </c>
      <c r="C3" s="571" t="s">
        <v>811</v>
      </c>
    </row>
    <row r="4" spans="1:4">
      <c r="A4" s="574" t="s">
        <v>230</v>
      </c>
      <c r="B4" s="571" t="s">
        <v>812</v>
      </c>
      <c r="C4" s="571" t="s">
        <v>813</v>
      </c>
    </row>
    <row r="5" spans="1:4">
      <c r="C5" s="573" t="s">
        <v>847</v>
      </c>
    </row>
    <row r="6" spans="1:4">
      <c r="A6" s="575">
        <v>1.1000000000000001</v>
      </c>
      <c r="B6" s="317" t="s">
        <v>863</v>
      </c>
      <c r="C6" s="577">
        <v>0.2</v>
      </c>
    </row>
    <row r="7" spans="1:4">
      <c r="B7" s="317" t="s">
        <v>924</v>
      </c>
      <c r="C7" s="577">
        <v>0.1</v>
      </c>
    </row>
    <row r="8" spans="1:4">
      <c r="B8" s="317" t="s">
        <v>864</v>
      </c>
      <c r="C8" s="577">
        <v>0.7</v>
      </c>
    </row>
    <row r="9" spans="1:4">
      <c r="B9" s="317" t="s">
        <v>644</v>
      </c>
      <c r="C9" s="577">
        <v>0</v>
      </c>
    </row>
    <row r="10" spans="1:4">
      <c r="B10" s="317" t="s">
        <v>645</v>
      </c>
      <c r="C10" s="577">
        <v>0</v>
      </c>
    </row>
    <row r="16" spans="1:4">
      <c r="A16" s="572">
        <v>2</v>
      </c>
      <c r="B16" s="573" t="s">
        <v>16</v>
      </c>
      <c r="C16" s="573" t="s">
        <v>814</v>
      </c>
      <c r="D16" s="573" t="s">
        <v>815</v>
      </c>
    </row>
    <row r="17" spans="1:12">
      <c r="B17" s="571" t="s">
        <v>201</v>
      </c>
      <c r="C17" s="576">
        <v>3.1699999999999999E-2</v>
      </c>
      <c r="D17" s="576">
        <v>6.3299999999999995E-2</v>
      </c>
    </row>
    <row r="18" spans="1:12">
      <c r="B18" s="571" t="s">
        <v>202</v>
      </c>
      <c r="C18" s="577">
        <v>0.1</v>
      </c>
      <c r="D18" s="577">
        <v>0.15</v>
      </c>
    </row>
    <row r="20" spans="1:12">
      <c r="A20" s="572">
        <v>3</v>
      </c>
      <c r="B20" s="573" t="s">
        <v>816</v>
      </c>
      <c r="C20" s="573" t="s">
        <v>866</v>
      </c>
    </row>
    <row r="21" spans="1:12">
      <c r="A21" s="572">
        <v>4</v>
      </c>
      <c r="B21" s="573" t="s">
        <v>817</v>
      </c>
      <c r="C21" s="573" t="s">
        <v>865</v>
      </c>
    </row>
    <row r="23" spans="1:12">
      <c r="A23" s="572">
        <v>4</v>
      </c>
      <c r="B23" s="573" t="s">
        <v>818</v>
      </c>
      <c r="C23" s="404" t="s">
        <v>2</v>
      </c>
      <c r="D23" s="404" t="s">
        <v>3</v>
      </c>
      <c r="E23" s="404" t="s">
        <v>4</v>
      </c>
      <c r="F23" s="404" t="s">
        <v>5</v>
      </c>
      <c r="G23" s="404" t="s">
        <v>6</v>
      </c>
      <c r="H23" s="404" t="s">
        <v>163</v>
      </c>
      <c r="I23" s="404" t="s">
        <v>162</v>
      </c>
      <c r="J23" s="404" t="s">
        <v>653</v>
      </c>
      <c r="K23" s="404" t="s">
        <v>654</v>
      </c>
      <c r="L23" s="404" t="s">
        <v>655</v>
      </c>
    </row>
    <row r="24" spans="1:12">
      <c r="A24" s="574" t="s">
        <v>229</v>
      </c>
      <c r="B24" s="405" t="s">
        <v>819</v>
      </c>
      <c r="C24" s="578">
        <v>0.55000000000000004</v>
      </c>
      <c r="D24" s="578">
        <f>+C24+5%</f>
        <v>0.60000000000000009</v>
      </c>
      <c r="E24" s="578">
        <f t="shared" ref="E24:L24" si="0">+D24+5%</f>
        <v>0.65000000000000013</v>
      </c>
      <c r="F24" s="578">
        <f t="shared" si="0"/>
        <v>0.70000000000000018</v>
      </c>
      <c r="G24" s="578">
        <f t="shared" si="0"/>
        <v>0.75000000000000022</v>
      </c>
      <c r="H24" s="578">
        <f t="shared" si="0"/>
        <v>0.80000000000000027</v>
      </c>
      <c r="I24" s="578">
        <f t="shared" si="0"/>
        <v>0.85000000000000031</v>
      </c>
      <c r="J24" s="578">
        <f t="shared" si="0"/>
        <v>0.90000000000000036</v>
      </c>
      <c r="K24" s="578">
        <f t="shared" si="0"/>
        <v>0.9500000000000004</v>
      </c>
      <c r="L24" s="578">
        <f t="shared" si="0"/>
        <v>1.0000000000000004</v>
      </c>
    </row>
    <row r="25" spans="1:12">
      <c r="A25" s="574" t="s">
        <v>230</v>
      </c>
      <c r="B25" s="405" t="s">
        <v>630</v>
      </c>
      <c r="C25" s="578">
        <v>0.55000000000000004</v>
      </c>
      <c r="D25" s="578">
        <f>+C25+5%</f>
        <v>0.60000000000000009</v>
      </c>
      <c r="E25" s="578">
        <f t="shared" ref="E25:L25" si="1">+D25+5%</f>
        <v>0.65000000000000013</v>
      </c>
      <c r="F25" s="578">
        <f t="shared" si="1"/>
        <v>0.70000000000000018</v>
      </c>
      <c r="G25" s="578">
        <f t="shared" si="1"/>
        <v>0.75000000000000022</v>
      </c>
      <c r="H25" s="578">
        <f t="shared" si="1"/>
        <v>0.80000000000000027</v>
      </c>
      <c r="I25" s="578">
        <f t="shared" si="1"/>
        <v>0.85000000000000031</v>
      </c>
      <c r="J25" s="578">
        <f t="shared" si="1"/>
        <v>0.90000000000000036</v>
      </c>
      <c r="K25" s="578">
        <f t="shared" si="1"/>
        <v>0.9500000000000004</v>
      </c>
      <c r="L25" s="578">
        <f t="shared" si="1"/>
        <v>1.0000000000000004</v>
      </c>
    </row>
    <row r="26" spans="1:12" hidden="1">
      <c r="A26" s="574" t="s">
        <v>266</v>
      </c>
      <c r="B26" s="405" t="s">
        <v>820</v>
      </c>
      <c r="C26" s="578">
        <v>0.4</v>
      </c>
      <c r="D26" s="578">
        <v>0.5</v>
      </c>
      <c r="E26" s="578">
        <v>0.55000000000000004</v>
      </c>
      <c r="F26" s="578">
        <v>0.60000000000000009</v>
      </c>
      <c r="G26" s="578">
        <v>0.65000000000000013</v>
      </c>
      <c r="H26" s="578">
        <v>0.65000000000000013</v>
      </c>
      <c r="I26" s="578">
        <v>0.65000000000000013</v>
      </c>
    </row>
    <row r="28" spans="1:12">
      <c r="A28" s="572">
        <v>5</v>
      </c>
      <c r="B28" s="318" t="s">
        <v>867</v>
      </c>
    </row>
    <row r="29" spans="1:12">
      <c r="A29" s="574" t="s">
        <v>229</v>
      </c>
      <c r="B29" s="405" t="s">
        <v>869</v>
      </c>
      <c r="C29" s="579">
        <v>0.25</v>
      </c>
    </row>
    <row r="30" spans="1:12">
      <c r="A30" s="574" t="s">
        <v>230</v>
      </c>
      <c r="B30" s="405" t="s">
        <v>870</v>
      </c>
      <c r="C30" s="579">
        <v>0.7</v>
      </c>
    </row>
    <row r="31" spans="1:12">
      <c r="A31" s="574" t="s">
        <v>266</v>
      </c>
      <c r="B31" s="405" t="s">
        <v>647</v>
      </c>
      <c r="C31" s="579">
        <v>0.05</v>
      </c>
    </row>
    <row r="32" spans="1:12">
      <c r="A32" s="574" t="s">
        <v>268</v>
      </c>
      <c r="B32" s="405" t="s">
        <v>844</v>
      </c>
      <c r="C32" s="579">
        <v>0</v>
      </c>
    </row>
    <row r="33" spans="1:3">
      <c r="A33" s="574" t="s">
        <v>321</v>
      </c>
      <c r="B33" s="405" t="s">
        <v>845</v>
      </c>
      <c r="C33" s="579">
        <v>0</v>
      </c>
    </row>
    <row r="34" spans="1:3">
      <c r="A34" s="574"/>
      <c r="B34" s="405"/>
      <c r="C34" s="579"/>
    </row>
    <row r="35" spans="1:3">
      <c r="A35" s="572">
        <v>5</v>
      </c>
      <c r="B35" s="318" t="s">
        <v>925</v>
      </c>
    </row>
    <row r="36" spans="1:3">
      <c r="A36" s="574" t="s">
        <v>229</v>
      </c>
      <c r="B36" s="405" t="s">
        <v>926</v>
      </c>
      <c r="C36" s="579">
        <v>0.25</v>
      </c>
    </row>
    <row r="37" spans="1:3">
      <c r="A37" s="574" t="s">
        <v>230</v>
      </c>
      <c r="B37" s="405" t="s">
        <v>870</v>
      </c>
      <c r="C37" s="579">
        <v>0.7</v>
      </c>
    </row>
    <row r="38" spans="1:3">
      <c r="A38" s="574" t="s">
        <v>266</v>
      </c>
      <c r="B38" s="405" t="s">
        <v>647</v>
      </c>
      <c r="C38" s="579">
        <v>0.05</v>
      </c>
    </row>
    <row r="39" spans="1:3">
      <c r="A39" s="574" t="s">
        <v>268</v>
      </c>
      <c r="B39" s="405" t="s">
        <v>844</v>
      </c>
      <c r="C39" s="579">
        <v>0</v>
      </c>
    </row>
    <row r="40" spans="1:3">
      <c r="A40" s="574" t="s">
        <v>321</v>
      </c>
      <c r="B40" s="405" t="s">
        <v>845</v>
      </c>
      <c r="C40" s="579">
        <v>0</v>
      </c>
    </row>
    <row r="41" spans="1:3">
      <c r="A41" s="574"/>
      <c r="B41" s="405"/>
      <c r="C41" s="579"/>
    </row>
    <row r="42" spans="1:3">
      <c r="A42" s="572">
        <v>5</v>
      </c>
      <c r="B42" s="318" t="s">
        <v>868</v>
      </c>
    </row>
    <row r="43" spans="1:3">
      <c r="A43" s="574" t="s">
        <v>229</v>
      </c>
      <c r="B43" s="405" t="s">
        <v>871</v>
      </c>
      <c r="C43" s="579">
        <v>0.25</v>
      </c>
    </row>
    <row r="44" spans="1:3">
      <c r="A44" s="574" t="s">
        <v>230</v>
      </c>
      <c r="B44" s="405" t="s">
        <v>870</v>
      </c>
      <c r="C44" s="579">
        <v>0.7</v>
      </c>
    </row>
    <row r="45" spans="1:3">
      <c r="A45" s="574" t="s">
        <v>266</v>
      </c>
      <c r="B45" s="405" t="s">
        <v>647</v>
      </c>
      <c r="C45" s="579">
        <v>0.05</v>
      </c>
    </row>
    <row r="46" spans="1:3">
      <c r="A46" s="574"/>
      <c r="B46" s="405"/>
      <c r="C46" s="579"/>
    </row>
    <row r="47" spans="1:3">
      <c r="A47" s="572">
        <v>5</v>
      </c>
      <c r="B47" s="568" t="s">
        <v>648</v>
      </c>
    </row>
    <row r="48" spans="1:3">
      <c r="A48" s="574" t="s">
        <v>229</v>
      </c>
      <c r="B48" s="405" t="s">
        <v>631</v>
      </c>
      <c r="C48" s="579">
        <v>0</v>
      </c>
    </row>
    <row r="49" spans="1:4">
      <c r="A49" s="574" t="s">
        <v>230</v>
      </c>
      <c r="B49" s="405" t="s">
        <v>632</v>
      </c>
      <c r="C49" s="579">
        <v>0</v>
      </c>
    </row>
    <row r="50" spans="1:4">
      <c r="A50" s="574" t="s">
        <v>266</v>
      </c>
      <c r="B50" s="405" t="s">
        <v>646</v>
      </c>
      <c r="C50" s="579">
        <v>0</v>
      </c>
    </row>
    <row r="51" spans="1:4">
      <c r="A51" s="574"/>
      <c r="B51" s="405"/>
      <c r="C51" s="579"/>
    </row>
    <row r="52" spans="1:4">
      <c r="A52" s="572">
        <v>5</v>
      </c>
      <c r="B52" s="568" t="s">
        <v>649</v>
      </c>
    </row>
    <row r="53" spans="1:4">
      <c r="A53" s="574" t="s">
        <v>229</v>
      </c>
      <c r="B53" s="405" t="s">
        <v>650</v>
      </c>
      <c r="C53" s="579">
        <v>0</v>
      </c>
    </row>
    <row r="54" spans="1:4">
      <c r="A54" s="574" t="s">
        <v>230</v>
      </c>
      <c r="B54" s="405" t="s">
        <v>651</v>
      </c>
      <c r="C54" s="579">
        <v>0</v>
      </c>
    </row>
    <row r="55" spans="1:4">
      <c r="A55" s="574" t="s">
        <v>266</v>
      </c>
      <c r="B55" s="405" t="s">
        <v>647</v>
      </c>
      <c r="C55" s="579">
        <v>0</v>
      </c>
    </row>
    <row r="57" spans="1:4">
      <c r="A57" s="575" t="s">
        <v>849</v>
      </c>
      <c r="B57" s="601" t="s">
        <v>878</v>
      </c>
    </row>
    <row r="58" spans="1:4">
      <c r="B58" s="601" t="s">
        <v>927</v>
      </c>
    </row>
    <row r="59" spans="1:4">
      <c r="B59" s="601" t="s">
        <v>879</v>
      </c>
    </row>
    <row r="60" spans="1:4">
      <c r="B60" s="601" t="s">
        <v>851</v>
      </c>
    </row>
    <row r="61" spans="1:4">
      <c r="B61" s="601" t="s">
        <v>850</v>
      </c>
    </row>
    <row r="62" spans="1:4">
      <c r="B62" s="583"/>
    </row>
    <row r="63" spans="1:4">
      <c r="A63" s="575">
        <v>7</v>
      </c>
      <c r="B63" s="571" t="s">
        <v>821</v>
      </c>
      <c r="C63" s="571" t="s">
        <v>822</v>
      </c>
    </row>
    <row r="64" spans="1:4">
      <c r="A64" s="575">
        <v>8</v>
      </c>
      <c r="B64" s="571" t="s">
        <v>823</v>
      </c>
      <c r="C64" s="571" t="s">
        <v>824</v>
      </c>
      <c r="D64" s="581">
        <v>24</v>
      </c>
    </row>
    <row r="65" spans="1:12" hidden="1">
      <c r="A65" s="575">
        <v>9</v>
      </c>
      <c r="B65" s="571" t="s">
        <v>825</v>
      </c>
      <c r="C65" s="571" t="s">
        <v>826</v>
      </c>
    </row>
    <row r="67" spans="1:12">
      <c r="A67" s="575">
        <v>9</v>
      </c>
      <c r="B67" s="598" t="s">
        <v>827</v>
      </c>
      <c r="C67" s="404" t="s">
        <v>2</v>
      </c>
      <c r="D67" s="404" t="s">
        <v>3</v>
      </c>
      <c r="E67" s="404" t="s">
        <v>4</v>
      </c>
      <c r="F67" s="404" t="s">
        <v>5</v>
      </c>
      <c r="G67" s="404" t="s">
        <v>6</v>
      </c>
      <c r="H67" s="404" t="s">
        <v>163</v>
      </c>
      <c r="I67" s="404" t="s">
        <v>162</v>
      </c>
      <c r="J67" s="404" t="s">
        <v>653</v>
      </c>
      <c r="K67" s="404" t="s">
        <v>654</v>
      </c>
      <c r="L67" s="404" t="s">
        <v>655</v>
      </c>
    </row>
    <row r="68" spans="1:12">
      <c r="B68" s="600" t="s">
        <v>876</v>
      </c>
      <c r="C68" s="418">
        <v>70000</v>
      </c>
      <c r="D68" s="418">
        <f>ROUND(C68*1.05,-1)</f>
        <v>73500</v>
      </c>
      <c r="E68" s="418">
        <f t="shared" ref="E68:L68" si="2">ROUND(D68*1.05,-1)</f>
        <v>77180</v>
      </c>
      <c r="F68" s="418">
        <f t="shared" si="2"/>
        <v>81040</v>
      </c>
      <c r="G68" s="418">
        <f t="shared" si="2"/>
        <v>85090</v>
      </c>
      <c r="H68" s="418">
        <f t="shared" si="2"/>
        <v>89340</v>
      </c>
      <c r="I68" s="418">
        <f t="shared" si="2"/>
        <v>93810</v>
      </c>
      <c r="J68" s="418">
        <f t="shared" si="2"/>
        <v>98500</v>
      </c>
      <c r="K68" s="418">
        <f t="shared" si="2"/>
        <v>103430</v>
      </c>
      <c r="L68" s="418">
        <f t="shared" si="2"/>
        <v>108600</v>
      </c>
    </row>
    <row r="69" spans="1:12">
      <c r="B69" s="600" t="s">
        <v>928</v>
      </c>
      <c r="C69" s="418">
        <v>80000</v>
      </c>
      <c r="D69" s="418">
        <f t="shared" ref="D69:L73" si="3">ROUND(C69*1.05,-1)</f>
        <v>84000</v>
      </c>
      <c r="E69" s="418">
        <f t="shared" si="3"/>
        <v>88200</v>
      </c>
      <c r="F69" s="418">
        <f t="shared" si="3"/>
        <v>92610</v>
      </c>
      <c r="G69" s="418">
        <f t="shared" si="3"/>
        <v>97240</v>
      </c>
      <c r="H69" s="418">
        <f t="shared" si="3"/>
        <v>102100</v>
      </c>
      <c r="I69" s="418">
        <f t="shared" si="3"/>
        <v>107210</v>
      </c>
      <c r="J69" s="418">
        <f t="shared" si="3"/>
        <v>112570</v>
      </c>
      <c r="K69" s="418">
        <f t="shared" si="3"/>
        <v>118200</v>
      </c>
      <c r="L69" s="418">
        <f t="shared" si="3"/>
        <v>124110</v>
      </c>
    </row>
    <row r="70" spans="1:12" hidden="1">
      <c r="B70" s="600" t="s">
        <v>659</v>
      </c>
      <c r="C70" s="418">
        <v>25000</v>
      </c>
      <c r="D70" s="418">
        <f t="shared" si="3"/>
        <v>26250</v>
      </c>
      <c r="E70" s="418">
        <f t="shared" si="3"/>
        <v>27560</v>
      </c>
      <c r="F70" s="418">
        <f t="shared" si="3"/>
        <v>28940</v>
      </c>
      <c r="G70" s="418">
        <f t="shared" si="3"/>
        <v>30390</v>
      </c>
      <c r="H70" s="418">
        <f t="shared" si="3"/>
        <v>31910</v>
      </c>
      <c r="I70" s="418">
        <f t="shared" si="3"/>
        <v>33510</v>
      </c>
      <c r="J70" s="418">
        <f t="shared" si="3"/>
        <v>35190</v>
      </c>
      <c r="K70" s="418">
        <f t="shared" si="3"/>
        <v>36950</v>
      </c>
      <c r="L70" s="418">
        <f t="shared" si="3"/>
        <v>38800</v>
      </c>
    </row>
    <row r="71" spans="1:12">
      <c r="B71" s="600" t="s">
        <v>877</v>
      </c>
      <c r="C71" s="418">
        <v>60000</v>
      </c>
      <c r="D71" s="418">
        <f t="shared" si="3"/>
        <v>63000</v>
      </c>
      <c r="E71" s="418">
        <f t="shared" si="3"/>
        <v>66150</v>
      </c>
      <c r="F71" s="418">
        <f t="shared" si="3"/>
        <v>69460</v>
      </c>
      <c r="G71" s="418">
        <f t="shared" si="3"/>
        <v>72930</v>
      </c>
      <c r="H71" s="418">
        <f t="shared" si="3"/>
        <v>76580</v>
      </c>
      <c r="I71" s="418">
        <f t="shared" si="3"/>
        <v>80410</v>
      </c>
      <c r="J71" s="418">
        <f t="shared" si="3"/>
        <v>84430</v>
      </c>
      <c r="K71" s="418">
        <f t="shared" si="3"/>
        <v>88650</v>
      </c>
      <c r="L71" s="418">
        <f t="shared" si="3"/>
        <v>93080</v>
      </c>
    </row>
    <row r="72" spans="1:12">
      <c r="B72" s="600" t="s">
        <v>947</v>
      </c>
      <c r="C72" s="418">
        <v>15000</v>
      </c>
      <c r="D72" s="418">
        <f t="shared" si="3"/>
        <v>15750</v>
      </c>
      <c r="E72" s="418">
        <f t="shared" si="3"/>
        <v>16540</v>
      </c>
      <c r="F72" s="418">
        <f t="shared" si="3"/>
        <v>17370</v>
      </c>
      <c r="G72" s="418">
        <f t="shared" si="3"/>
        <v>18240</v>
      </c>
      <c r="H72" s="418">
        <f t="shared" si="3"/>
        <v>19150</v>
      </c>
      <c r="I72" s="418">
        <f t="shared" si="3"/>
        <v>20110</v>
      </c>
      <c r="J72" s="418">
        <f t="shared" si="3"/>
        <v>21120</v>
      </c>
      <c r="K72" s="418">
        <f t="shared" si="3"/>
        <v>22180</v>
      </c>
      <c r="L72" s="418">
        <f t="shared" si="3"/>
        <v>23290</v>
      </c>
    </row>
    <row r="73" spans="1:12">
      <c r="B73" s="600" t="s">
        <v>454</v>
      </c>
      <c r="C73" s="418">
        <v>0</v>
      </c>
      <c r="D73" s="418">
        <f t="shared" si="3"/>
        <v>0</v>
      </c>
      <c r="E73" s="418">
        <f t="shared" si="3"/>
        <v>0</v>
      </c>
      <c r="F73" s="418">
        <f t="shared" si="3"/>
        <v>0</v>
      </c>
      <c r="G73" s="418">
        <f t="shared" si="3"/>
        <v>0</v>
      </c>
      <c r="H73" s="418">
        <f t="shared" si="3"/>
        <v>0</v>
      </c>
      <c r="I73" s="418">
        <f t="shared" si="3"/>
        <v>0</v>
      </c>
      <c r="J73" s="418">
        <f t="shared" si="3"/>
        <v>0</v>
      </c>
      <c r="K73" s="418">
        <f t="shared" si="3"/>
        <v>0</v>
      </c>
      <c r="L73" s="418">
        <f t="shared" si="3"/>
        <v>0</v>
      </c>
    </row>
    <row r="74" spans="1:12">
      <c r="C74" s="418"/>
      <c r="D74" s="418"/>
      <c r="E74" s="418"/>
      <c r="F74" s="418"/>
      <c r="G74" s="418"/>
      <c r="H74" s="418"/>
      <c r="I74" s="418"/>
      <c r="J74" s="418"/>
      <c r="K74" s="418"/>
      <c r="L74" s="418"/>
    </row>
    <row r="75" spans="1:12" hidden="1">
      <c r="C75" s="404" t="s">
        <v>2</v>
      </c>
      <c r="D75" s="404" t="s">
        <v>3</v>
      </c>
      <c r="E75" s="404" t="s">
        <v>4</v>
      </c>
      <c r="F75" s="404" t="s">
        <v>5</v>
      </c>
      <c r="G75" s="404" t="s">
        <v>6</v>
      </c>
      <c r="H75" s="404" t="s">
        <v>163</v>
      </c>
      <c r="I75" s="404" t="s">
        <v>162</v>
      </c>
    </row>
    <row r="76" spans="1:12" hidden="1">
      <c r="A76" s="575">
        <v>11</v>
      </c>
      <c r="B76" s="571" t="s">
        <v>828</v>
      </c>
      <c r="C76" s="418">
        <v>0</v>
      </c>
      <c r="D76" s="418">
        <v>0</v>
      </c>
      <c r="E76" s="418">
        <v>0</v>
      </c>
      <c r="F76" s="418">
        <v>0</v>
      </c>
      <c r="G76" s="418">
        <v>0</v>
      </c>
      <c r="H76" s="418">
        <v>0</v>
      </c>
      <c r="I76" s="418">
        <v>0</v>
      </c>
    </row>
    <row r="77" spans="1:12" hidden="1">
      <c r="C77" s="418"/>
      <c r="D77" s="418"/>
      <c r="E77" s="418"/>
      <c r="F77" s="418"/>
      <c r="G77" s="418"/>
      <c r="H77" s="418"/>
      <c r="I77" s="418"/>
    </row>
    <row r="78" spans="1:12" hidden="1">
      <c r="C78" s="404" t="s">
        <v>2</v>
      </c>
      <c r="D78" s="404" t="s">
        <v>3</v>
      </c>
      <c r="E78" s="404" t="s">
        <v>4</v>
      </c>
      <c r="F78" s="404" t="s">
        <v>5</v>
      </c>
      <c r="G78" s="404" t="s">
        <v>6</v>
      </c>
      <c r="H78" s="404" t="s">
        <v>163</v>
      </c>
      <c r="I78" s="404" t="s">
        <v>162</v>
      </c>
    </row>
    <row r="79" spans="1:12" hidden="1">
      <c r="A79" s="575">
        <v>12</v>
      </c>
      <c r="B79" s="571" t="s">
        <v>829</v>
      </c>
      <c r="C79" s="577">
        <v>0.85</v>
      </c>
      <c r="D79" s="577">
        <v>0.85</v>
      </c>
      <c r="E79" s="577">
        <v>0.85</v>
      </c>
      <c r="F79" s="577">
        <v>0.85</v>
      </c>
      <c r="G79" s="577">
        <v>0.85</v>
      </c>
      <c r="H79" s="577">
        <v>0.85</v>
      </c>
      <c r="I79" s="577">
        <v>0.85</v>
      </c>
    </row>
    <row r="80" spans="1:12">
      <c r="C80" s="418"/>
      <c r="D80" s="418"/>
      <c r="E80" s="418"/>
      <c r="F80" s="418"/>
      <c r="G80" s="418"/>
      <c r="H80" s="418"/>
      <c r="I80" s="418"/>
    </row>
    <row r="81" spans="1:12">
      <c r="A81" s="575">
        <v>10</v>
      </c>
      <c r="B81" s="573" t="s">
        <v>830</v>
      </c>
      <c r="C81" s="404" t="s">
        <v>2</v>
      </c>
      <c r="D81" s="404" t="s">
        <v>3</v>
      </c>
      <c r="E81" s="404" t="s">
        <v>4</v>
      </c>
      <c r="F81" s="404" t="s">
        <v>5</v>
      </c>
      <c r="G81" s="404" t="s">
        <v>6</v>
      </c>
      <c r="H81" s="404" t="s">
        <v>163</v>
      </c>
      <c r="I81" s="404" t="s">
        <v>162</v>
      </c>
      <c r="J81" s="404" t="s">
        <v>653</v>
      </c>
      <c r="K81" s="404" t="s">
        <v>654</v>
      </c>
      <c r="L81" s="404" t="s">
        <v>655</v>
      </c>
    </row>
    <row r="82" spans="1:12">
      <c r="B82" s="571" t="s">
        <v>831</v>
      </c>
      <c r="C82" s="418">
        <v>4000</v>
      </c>
      <c r="D82" s="418">
        <f>ROUND(C82*1.05,-1)</f>
        <v>4200</v>
      </c>
      <c r="E82" s="418">
        <f t="shared" ref="E82:L82" si="4">ROUND(D82*1.05,-1)</f>
        <v>4410</v>
      </c>
      <c r="F82" s="418">
        <f t="shared" si="4"/>
        <v>4630</v>
      </c>
      <c r="G82" s="418">
        <f t="shared" si="4"/>
        <v>4860</v>
      </c>
      <c r="H82" s="418">
        <f t="shared" si="4"/>
        <v>5100</v>
      </c>
      <c r="I82" s="418">
        <f t="shared" si="4"/>
        <v>5360</v>
      </c>
      <c r="J82" s="418">
        <f t="shared" si="4"/>
        <v>5630</v>
      </c>
      <c r="K82" s="418">
        <f t="shared" si="4"/>
        <v>5910</v>
      </c>
      <c r="L82" s="418">
        <f t="shared" si="4"/>
        <v>6210</v>
      </c>
    </row>
    <row r="83" spans="1:12" hidden="1">
      <c r="A83" s="575" t="s">
        <v>230</v>
      </c>
      <c r="B83" s="571" t="s">
        <v>832</v>
      </c>
      <c r="C83" s="418"/>
      <c r="D83" s="418"/>
      <c r="E83" s="418"/>
      <c r="F83" s="418"/>
      <c r="G83" s="418"/>
      <c r="H83" s="418"/>
      <c r="I83" s="418"/>
    </row>
    <row r="84" spans="1:12" hidden="1">
      <c r="B84" s="580" t="s">
        <v>833</v>
      </c>
      <c r="C84" s="418">
        <v>1500</v>
      </c>
      <c r="D84" s="418"/>
      <c r="E84" s="418"/>
      <c r="F84" s="418"/>
      <c r="G84" s="418"/>
      <c r="H84" s="418"/>
      <c r="I84" s="418"/>
    </row>
    <row r="85" spans="1:12" hidden="1">
      <c r="B85" s="580" t="s">
        <v>834</v>
      </c>
      <c r="C85" s="418">
        <v>1000</v>
      </c>
      <c r="D85" s="418"/>
      <c r="E85" s="418"/>
      <c r="F85" s="418"/>
      <c r="G85" s="418"/>
      <c r="H85" s="418"/>
      <c r="I85" s="418"/>
    </row>
    <row r="87" spans="1:12">
      <c r="A87" s="575">
        <v>11</v>
      </c>
      <c r="B87" s="573" t="s">
        <v>835</v>
      </c>
      <c r="C87" s="571" t="s">
        <v>836</v>
      </c>
    </row>
    <row r="89" spans="1:12">
      <c r="A89" s="575">
        <v>12</v>
      </c>
      <c r="B89" s="598" t="s">
        <v>837</v>
      </c>
      <c r="C89" s="404" t="s">
        <v>2</v>
      </c>
      <c r="D89" s="404" t="s">
        <v>3</v>
      </c>
      <c r="E89" s="404" t="s">
        <v>4</v>
      </c>
      <c r="F89" s="404" t="s">
        <v>5</v>
      </c>
      <c r="G89" s="404" t="s">
        <v>6</v>
      </c>
      <c r="H89" s="404" t="s">
        <v>163</v>
      </c>
      <c r="I89" s="404" t="s">
        <v>162</v>
      </c>
      <c r="J89" s="404" t="s">
        <v>653</v>
      </c>
      <c r="K89" s="404" t="s">
        <v>654</v>
      </c>
      <c r="L89" s="404" t="s">
        <v>655</v>
      </c>
    </row>
    <row r="90" spans="1:12">
      <c r="B90" s="573" t="str">
        <f>+B57</f>
        <v>Finished Goods  -Flax(MT)</v>
      </c>
      <c r="C90" s="404"/>
      <c r="D90" s="404"/>
      <c r="E90" s="404"/>
      <c r="F90" s="404"/>
      <c r="G90" s="404"/>
      <c r="H90" s="404"/>
      <c r="I90" s="404"/>
      <c r="J90" s="404"/>
      <c r="K90" s="404"/>
      <c r="L90" s="404"/>
    </row>
    <row r="91" spans="1:12">
      <c r="A91" s="574" t="s">
        <v>229</v>
      </c>
      <c r="B91" s="571" t="str">
        <f>+B29</f>
        <v>Flax Oil</v>
      </c>
      <c r="C91" s="418">
        <v>139000</v>
      </c>
      <c r="D91" s="418">
        <f>ROUND(C91*1.05,-1)</f>
        <v>145950</v>
      </c>
      <c r="E91" s="418">
        <f t="shared" ref="E91:L91" si="5">ROUND(D91*1.05,-1)</f>
        <v>153250</v>
      </c>
      <c r="F91" s="418">
        <f t="shared" si="5"/>
        <v>160910</v>
      </c>
      <c r="G91" s="418">
        <f t="shared" si="5"/>
        <v>168960</v>
      </c>
      <c r="H91" s="418">
        <f t="shared" si="5"/>
        <v>177410</v>
      </c>
      <c r="I91" s="418">
        <f t="shared" si="5"/>
        <v>186280</v>
      </c>
      <c r="J91" s="418">
        <f t="shared" si="5"/>
        <v>195590</v>
      </c>
      <c r="K91" s="418">
        <f t="shared" si="5"/>
        <v>205370</v>
      </c>
      <c r="L91" s="418">
        <f t="shared" si="5"/>
        <v>215640</v>
      </c>
    </row>
    <row r="92" spans="1:12">
      <c r="A92" s="574" t="s">
        <v>230</v>
      </c>
      <c r="B92" s="571" t="str">
        <f>+B30</f>
        <v>Oil Cake</v>
      </c>
      <c r="C92" s="571">
        <v>0</v>
      </c>
      <c r="D92" s="418">
        <f>ROUND(C92*1.05,-1)</f>
        <v>0</v>
      </c>
      <c r="E92" s="418">
        <f t="shared" ref="E92:L92" si="6">ROUND(D92*1.05,-1)</f>
        <v>0</v>
      </c>
      <c r="F92" s="418">
        <f t="shared" si="6"/>
        <v>0</v>
      </c>
      <c r="G92" s="418">
        <f t="shared" si="6"/>
        <v>0</v>
      </c>
      <c r="H92" s="418">
        <f t="shared" si="6"/>
        <v>0</v>
      </c>
      <c r="I92" s="418">
        <f t="shared" si="6"/>
        <v>0</v>
      </c>
      <c r="J92" s="418">
        <f t="shared" si="6"/>
        <v>0</v>
      </c>
      <c r="K92" s="418">
        <f t="shared" si="6"/>
        <v>0</v>
      </c>
      <c r="L92" s="418">
        <f t="shared" si="6"/>
        <v>0</v>
      </c>
    </row>
    <row r="93" spans="1:12">
      <c r="A93" s="574" t="s">
        <v>266</v>
      </c>
      <c r="B93" s="571" t="str">
        <f>+B31</f>
        <v>Waste</v>
      </c>
      <c r="C93" s="418">
        <v>0</v>
      </c>
      <c r="D93" s="418">
        <f>ROUND(C93*1.05,-1)</f>
        <v>0</v>
      </c>
      <c r="E93" s="418">
        <f t="shared" ref="E93:L93" si="7">ROUND(D93*1.05,-1)</f>
        <v>0</v>
      </c>
      <c r="F93" s="418">
        <f t="shared" si="7"/>
        <v>0</v>
      </c>
      <c r="G93" s="418">
        <f t="shared" si="7"/>
        <v>0</v>
      </c>
      <c r="H93" s="418">
        <f t="shared" si="7"/>
        <v>0</v>
      </c>
      <c r="I93" s="418">
        <f t="shared" si="7"/>
        <v>0</v>
      </c>
      <c r="J93" s="418">
        <f t="shared" si="7"/>
        <v>0</v>
      </c>
      <c r="K93" s="418">
        <f t="shared" si="7"/>
        <v>0</v>
      </c>
      <c r="L93" s="418">
        <f t="shared" si="7"/>
        <v>0</v>
      </c>
    </row>
    <row r="94" spans="1:12" hidden="1">
      <c r="A94" s="574" t="s">
        <v>268</v>
      </c>
      <c r="B94" s="571" t="s">
        <v>844</v>
      </c>
      <c r="C94" s="418">
        <v>12000</v>
      </c>
      <c r="D94" s="418">
        <v>12600</v>
      </c>
      <c r="E94" s="418">
        <v>13230</v>
      </c>
      <c r="F94" s="418">
        <v>13890</v>
      </c>
      <c r="G94" s="418">
        <v>14580</v>
      </c>
      <c r="H94" s="418">
        <v>15310</v>
      </c>
      <c r="I94" s="418">
        <v>16080</v>
      </c>
      <c r="J94" s="418">
        <v>16880</v>
      </c>
      <c r="K94" s="418">
        <v>17720</v>
      </c>
      <c r="L94" s="418">
        <v>18610</v>
      </c>
    </row>
    <row r="95" spans="1:12" hidden="1">
      <c r="A95" s="574" t="s">
        <v>321</v>
      </c>
      <c r="B95" s="571" t="s">
        <v>845</v>
      </c>
      <c r="C95" s="418">
        <v>12000</v>
      </c>
      <c r="D95" s="418">
        <v>12600</v>
      </c>
      <c r="E95" s="418">
        <v>13230</v>
      </c>
      <c r="F95" s="418">
        <v>13890</v>
      </c>
      <c r="G95" s="418">
        <v>14580</v>
      </c>
      <c r="H95" s="418">
        <v>15310</v>
      </c>
      <c r="I95" s="418">
        <v>16080</v>
      </c>
      <c r="J95" s="418">
        <v>16880</v>
      </c>
      <c r="K95" s="418">
        <v>17720</v>
      </c>
      <c r="L95" s="418">
        <v>18610</v>
      </c>
    </row>
    <row r="96" spans="1:12">
      <c r="A96" s="574"/>
      <c r="C96" s="418"/>
      <c r="D96" s="418"/>
      <c r="E96" s="418"/>
      <c r="F96" s="418"/>
      <c r="G96" s="418"/>
      <c r="H96" s="418"/>
      <c r="I96" s="418"/>
      <c r="J96" s="418"/>
      <c r="K96" s="418"/>
      <c r="L96" s="418"/>
    </row>
    <row r="97" spans="1:12">
      <c r="A97" s="574"/>
      <c r="B97" s="573" t="str">
        <f>+B58</f>
        <v>Finished Goods safflower(MT)</v>
      </c>
      <c r="C97" s="418"/>
      <c r="D97" s="418"/>
      <c r="E97" s="418"/>
      <c r="F97" s="418"/>
      <c r="G97" s="418"/>
      <c r="H97" s="418"/>
      <c r="I97" s="418"/>
      <c r="J97" s="418"/>
      <c r="K97" s="418"/>
      <c r="L97" s="418"/>
    </row>
    <row r="98" spans="1:12">
      <c r="A98" s="574" t="s">
        <v>229</v>
      </c>
      <c r="B98" s="571" t="str">
        <f>+B36</f>
        <v>safflower Oil</v>
      </c>
      <c r="C98" s="571">
        <v>144000</v>
      </c>
      <c r="D98" s="418">
        <f>ROUND(C98*1.05,-1)</f>
        <v>151200</v>
      </c>
      <c r="E98" s="418">
        <f>ROUND(D98*1.05,-1)</f>
        <v>158760</v>
      </c>
      <c r="F98" s="418">
        <f t="shared" ref="F98:L99" si="8">ROUND(E98*1.05,-1)</f>
        <v>166700</v>
      </c>
      <c r="G98" s="418">
        <f t="shared" si="8"/>
        <v>175040</v>
      </c>
      <c r="H98" s="418">
        <f t="shared" si="8"/>
        <v>183790</v>
      </c>
      <c r="I98" s="418">
        <f t="shared" si="8"/>
        <v>192980</v>
      </c>
      <c r="J98" s="418">
        <f t="shared" si="8"/>
        <v>202630</v>
      </c>
      <c r="K98" s="418">
        <f t="shared" si="8"/>
        <v>212760</v>
      </c>
      <c r="L98" s="418">
        <f t="shared" si="8"/>
        <v>223400</v>
      </c>
    </row>
    <row r="99" spans="1:12">
      <c r="A99" s="574" t="s">
        <v>230</v>
      </c>
      <c r="B99" s="571" t="str">
        <f>+B37</f>
        <v>Oil Cake</v>
      </c>
      <c r="C99" s="571">
        <v>0</v>
      </c>
      <c r="D99" s="418">
        <f>ROUND(C99*1.05,-1)</f>
        <v>0</v>
      </c>
      <c r="E99" s="418">
        <f t="shared" ref="E99" si="9">ROUND(D99*1.05,-1)</f>
        <v>0</v>
      </c>
      <c r="F99" s="418">
        <f t="shared" si="8"/>
        <v>0</v>
      </c>
      <c r="G99" s="418">
        <f t="shared" si="8"/>
        <v>0</v>
      </c>
      <c r="H99" s="418">
        <f t="shared" si="8"/>
        <v>0</v>
      </c>
      <c r="I99" s="418">
        <f t="shared" si="8"/>
        <v>0</v>
      </c>
      <c r="J99" s="418">
        <f t="shared" si="8"/>
        <v>0</v>
      </c>
      <c r="K99" s="418">
        <f t="shared" si="8"/>
        <v>0</v>
      </c>
      <c r="L99" s="418">
        <f t="shared" si="8"/>
        <v>0</v>
      </c>
    </row>
    <row r="100" spans="1:12">
      <c r="A100" s="574"/>
    </row>
    <row r="101" spans="1:12" hidden="1">
      <c r="A101" s="574"/>
      <c r="B101" s="573" t="s">
        <v>659</v>
      </c>
    </row>
    <row r="102" spans="1:12" hidden="1">
      <c r="A102" s="574"/>
      <c r="B102" s="571" t="s">
        <v>631</v>
      </c>
      <c r="C102" s="571">
        <v>35000</v>
      </c>
      <c r="D102" s="571">
        <v>36750</v>
      </c>
      <c r="E102" s="571">
        <v>38590</v>
      </c>
      <c r="F102" s="571">
        <v>40520</v>
      </c>
      <c r="G102" s="571">
        <v>42550</v>
      </c>
      <c r="H102" s="571">
        <v>44680</v>
      </c>
      <c r="I102" s="571">
        <v>46910</v>
      </c>
      <c r="J102" s="571">
        <v>49260</v>
      </c>
      <c r="K102" s="571">
        <v>51720</v>
      </c>
      <c r="L102" s="571">
        <v>54310</v>
      </c>
    </row>
    <row r="103" spans="1:12" hidden="1">
      <c r="A103" s="574"/>
    </row>
    <row r="104" spans="1:12">
      <c r="A104" s="574"/>
      <c r="B104" s="573" t="str">
        <f>+B59</f>
        <v>Finished Goods  -Mustered(MT)</v>
      </c>
    </row>
    <row r="105" spans="1:12">
      <c r="A105" s="574" t="s">
        <v>229</v>
      </c>
      <c r="B105" s="571" t="str">
        <f>+B43</f>
        <v>Mustered Oil</v>
      </c>
      <c r="C105" s="593">
        <v>135000</v>
      </c>
      <c r="D105" s="418">
        <f>ROUND(C105*1.05,-1)</f>
        <v>141750</v>
      </c>
      <c r="E105" s="418">
        <f t="shared" ref="E105:L105" si="10">ROUND(D105*1.05,-1)</f>
        <v>148840</v>
      </c>
      <c r="F105" s="418">
        <f t="shared" si="10"/>
        <v>156280</v>
      </c>
      <c r="G105" s="418">
        <f t="shared" si="10"/>
        <v>164090</v>
      </c>
      <c r="H105" s="418">
        <f t="shared" si="10"/>
        <v>172290</v>
      </c>
      <c r="I105" s="418">
        <f t="shared" si="10"/>
        <v>180900</v>
      </c>
      <c r="J105" s="418">
        <f t="shared" si="10"/>
        <v>189950</v>
      </c>
      <c r="K105" s="418">
        <f t="shared" si="10"/>
        <v>199450</v>
      </c>
      <c r="L105" s="418">
        <f t="shared" si="10"/>
        <v>209420</v>
      </c>
    </row>
    <row r="106" spans="1:12">
      <c r="A106" s="574" t="s">
        <v>230</v>
      </c>
      <c r="B106" s="571" t="str">
        <f>+B44</f>
        <v>Oil Cake</v>
      </c>
      <c r="C106" s="571">
        <v>0</v>
      </c>
      <c r="D106" s="418">
        <f>ROUND(C106*1.05,-1)</f>
        <v>0</v>
      </c>
      <c r="E106" s="418">
        <f t="shared" ref="E106" si="11">ROUND(D106*1.05,-1)</f>
        <v>0</v>
      </c>
      <c r="F106" s="418">
        <f t="shared" ref="F106" si="12">ROUND(E106*1.05,-1)</f>
        <v>0</v>
      </c>
      <c r="G106" s="418">
        <f t="shared" ref="G106" si="13">ROUND(F106*1.05,-1)</f>
        <v>0</v>
      </c>
      <c r="H106" s="418">
        <f t="shared" ref="H106" si="14">ROUND(G106*1.05,-1)</f>
        <v>0</v>
      </c>
      <c r="I106" s="418">
        <f t="shared" ref="I106" si="15">ROUND(H106*1.05,-1)</f>
        <v>0</v>
      </c>
      <c r="J106" s="418">
        <f t="shared" ref="J106" si="16">ROUND(I106*1.05,-1)</f>
        <v>0</v>
      </c>
      <c r="K106" s="418">
        <f t="shared" ref="K106" si="17">ROUND(J106*1.05,-1)</f>
        <v>0</v>
      </c>
      <c r="L106" s="418">
        <f t="shared" ref="L106" si="18">ROUND(K106*1.05,-1)</f>
        <v>0</v>
      </c>
    </row>
    <row r="107" spans="1:12" hidden="1">
      <c r="A107" s="574"/>
      <c r="B107" s="573" t="s">
        <v>635</v>
      </c>
    </row>
    <row r="108" spans="1:12" hidden="1">
      <c r="A108" s="574"/>
      <c r="B108" s="571" t="s">
        <v>631</v>
      </c>
      <c r="C108" s="418">
        <v>0</v>
      </c>
      <c r="D108" s="418">
        <f t="shared" ref="D108" si="19">ROUND(C108*1.05,-1)</f>
        <v>0</v>
      </c>
      <c r="E108" s="418">
        <f t="shared" ref="E108:L108" si="20">ROUND(D108*1.05,-1)</f>
        <v>0</v>
      </c>
      <c r="F108" s="418">
        <f t="shared" si="20"/>
        <v>0</v>
      </c>
      <c r="G108" s="418">
        <f t="shared" si="20"/>
        <v>0</v>
      </c>
      <c r="H108" s="418">
        <f t="shared" si="20"/>
        <v>0</v>
      </c>
      <c r="I108" s="418">
        <f t="shared" si="20"/>
        <v>0</v>
      </c>
      <c r="J108" s="418">
        <f t="shared" si="20"/>
        <v>0</v>
      </c>
      <c r="K108" s="418">
        <f t="shared" si="20"/>
        <v>0</v>
      </c>
      <c r="L108" s="418">
        <f t="shared" si="20"/>
        <v>0</v>
      </c>
    </row>
    <row r="109" spans="1:12" hidden="1">
      <c r="A109" s="574"/>
      <c r="B109" s="571" t="s">
        <v>632</v>
      </c>
      <c r="C109" s="418">
        <v>0</v>
      </c>
      <c r="D109" s="418">
        <f t="shared" ref="D109:L109" si="21">ROUND(C109*1.05,-1)</f>
        <v>0</v>
      </c>
      <c r="E109" s="418">
        <f t="shared" si="21"/>
        <v>0</v>
      </c>
      <c r="F109" s="418">
        <f t="shared" si="21"/>
        <v>0</v>
      </c>
      <c r="G109" s="418">
        <f t="shared" si="21"/>
        <v>0</v>
      </c>
      <c r="H109" s="418">
        <f t="shared" si="21"/>
        <v>0</v>
      </c>
      <c r="I109" s="418">
        <f t="shared" si="21"/>
        <v>0</v>
      </c>
      <c r="J109" s="418">
        <f t="shared" si="21"/>
        <v>0</v>
      </c>
      <c r="K109" s="418">
        <f t="shared" si="21"/>
        <v>0</v>
      </c>
      <c r="L109" s="418">
        <f t="shared" si="21"/>
        <v>0</v>
      </c>
    </row>
    <row r="110" spans="1:12" hidden="1">
      <c r="A110" s="574"/>
      <c r="B110" s="571" t="s">
        <v>646</v>
      </c>
      <c r="C110" s="418">
        <v>0</v>
      </c>
      <c r="D110" s="418">
        <f t="shared" ref="D110:L110" si="22">ROUND(C110*1.05,-1)</f>
        <v>0</v>
      </c>
      <c r="E110" s="418">
        <f t="shared" si="22"/>
        <v>0</v>
      </c>
      <c r="F110" s="418">
        <f t="shared" si="22"/>
        <v>0</v>
      </c>
      <c r="G110" s="418">
        <f t="shared" si="22"/>
        <v>0</v>
      </c>
      <c r="H110" s="418">
        <f t="shared" si="22"/>
        <v>0</v>
      </c>
      <c r="I110" s="418">
        <f t="shared" si="22"/>
        <v>0</v>
      </c>
      <c r="J110" s="418">
        <f t="shared" si="22"/>
        <v>0</v>
      </c>
      <c r="K110" s="418">
        <f t="shared" si="22"/>
        <v>0</v>
      </c>
      <c r="L110" s="418">
        <f t="shared" si="22"/>
        <v>0</v>
      </c>
    </row>
    <row r="111" spans="1:12" hidden="1">
      <c r="A111" s="574"/>
    </row>
    <row r="112" spans="1:12" hidden="1">
      <c r="A112" s="574"/>
      <c r="B112" s="573" t="s">
        <v>454</v>
      </c>
    </row>
    <row r="113" spans="1:12" hidden="1">
      <c r="A113" s="574"/>
      <c r="B113" s="571" t="s">
        <v>650</v>
      </c>
      <c r="C113" s="418">
        <v>0</v>
      </c>
      <c r="D113" s="418">
        <f t="shared" ref="D113:L114" si="23">ROUND(C113*1.05,-1)</f>
        <v>0</v>
      </c>
      <c r="E113" s="418">
        <f t="shared" si="23"/>
        <v>0</v>
      </c>
      <c r="F113" s="418">
        <f t="shared" si="23"/>
        <v>0</v>
      </c>
      <c r="G113" s="418">
        <f t="shared" si="23"/>
        <v>0</v>
      </c>
      <c r="H113" s="418">
        <f t="shared" si="23"/>
        <v>0</v>
      </c>
      <c r="I113" s="418">
        <f t="shared" si="23"/>
        <v>0</v>
      </c>
      <c r="J113" s="418">
        <f t="shared" si="23"/>
        <v>0</v>
      </c>
      <c r="K113" s="418">
        <f t="shared" si="23"/>
        <v>0</v>
      </c>
      <c r="L113" s="418">
        <f t="shared" si="23"/>
        <v>0</v>
      </c>
    </row>
    <row r="114" spans="1:12" hidden="1">
      <c r="A114" s="574"/>
      <c r="B114" s="571" t="s">
        <v>651</v>
      </c>
      <c r="C114" s="418">
        <v>0</v>
      </c>
      <c r="D114" s="418">
        <f t="shared" si="23"/>
        <v>0</v>
      </c>
      <c r="E114" s="418">
        <f t="shared" si="23"/>
        <v>0</v>
      </c>
      <c r="F114" s="418">
        <f t="shared" si="23"/>
        <v>0</v>
      </c>
      <c r="G114" s="418">
        <f t="shared" si="23"/>
        <v>0</v>
      </c>
      <c r="H114" s="418">
        <f t="shared" si="23"/>
        <v>0</v>
      </c>
      <c r="I114" s="418">
        <f t="shared" si="23"/>
        <v>0</v>
      </c>
      <c r="J114" s="418">
        <f t="shared" si="23"/>
        <v>0</v>
      </c>
      <c r="K114" s="418">
        <f t="shared" si="23"/>
        <v>0</v>
      </c>
      <c r="L114" s="418">
        <f t="shared" si="23"/>
        <v>0</v>
      </c>
    </row>
    <row r="115" spans="1:12">
      <c r="A115" s="574"/>
      <c r="C115" s="418"/>
      <c r="D115" s="418"/>
      <c r="E115" s="418"/>
      <c r="F115" s="418"/>
      <c r="G115" s="418"/>
      <c r="H115" s="418"/>
      <c r="I115" s="418"/>
      <c r="J115" s="418"/>
      <c r="K115" s="418"/>
      <c r="L115" s="418"/>
    </row>
    <row r="116" spans="1:12" hidden="1"/>
    <row r="117" spans="1:12" hidden="1">
      <c r="A117" s="575">
        <v>13</v>
      </c>
      <c r="B117" s="573" t="s">
        <v>838</v>
      </c>
      <c r="C117" s="577">
        <v>0.09</v>
      </c>
    </row>
    <row r="118" spans="1:12" hidden="1"/>
    <row r="119" spans="1:12" hidden="1">
      <c r="A119" s="575">
        <v>14</v>
      </c>
      <c r="B119" s="573" t="s">
        <v>839</v>
      </c>
      <c r="C119" s="571" t="s">
        <v>840</v>
      </c>
    </row>
    <row r="121" spans="1:12">
      <c r="A121" s="575">
        <v>13</v>
      </c>
      <c r="B121" s="573" t="s">
        <v>841</v>
      </c>
      <c r="C121" s="576">
        <v>0.26</v>
      </c>
    </row>
    <row r="123" spans="1:12">
      <c r="A123" s="575">
        <v>14</v>
      </c>
      <c r="B123" s="573" t="s">
        <v>842</v>
      </c>
      <c r="C123" s="571" t="s">
        <v>824</v>
      </c>
    </row>
    <row r="125" spans="1:12">
      <c r="A125" s="575">
        <v>15</v>
      </c>
      <c r="B125" s="573" t="s">
        <v>843</v>
      </c>
      <c r="C125" s="571" t="s">
        <v>848</v>
      </c>
    </row>
    <row r="127" spans="1:12">
      <c r="A127" s="575">
        <v>16</v>
      </c>
      <c r="B127" s="571" t="s">
        <v>852</v>
      </c>
    </row>
    <row r="128" spans="1:12">
      <c r="B128" s="329" t="s">
        <v>671</v>
      </c>
      <c r="C128" s="594">
        <v>0</v>
      </c>
    </row>
    <row r="129" spans="1:10">
      <c r="B129" s="351" t="s">
        <v>672</v>
      </c>
      <c r="C129" s="349">
        <v>15</v>
      </c>
    </row>
    <row r="130" spans="1:10">
      <c r="B130" s="351" t="s">
        <v>673</v>
      </c>
      <c r="C130" s="349">
        <v>12</v>
      </c>
    </row>
    <row r="131" spans="1:10">
      <c r="B131" s="351" t="s">
        <v>681</v>
      </c>
      <c r="C131" s="352">
        <v>0</v>
      </c>
    </row>
    <row r="133" spans="1:10">
      <c r="B133" s="357" t="s">
        <v>291</v>
      </c>
      <c r="C133" s="358">
        <v>0.7</v>
      </c>
      <c r="D133" s="358">
        <v>0.7</v>
      </c>
      <c r="E133" s="358">
        <f>+D133+5%</f>
        <v>0.75</v>
      </c>
      <c r="F133" s="358">
        <f>+E133+5%</f>
        <v>0.8</v>
      </c>
      <c r="G133" s="358">
        <f>+F133+5%</f>
        <v>0.85000000000000009</v>
      </c>
      <c r="H133" s="358">
        <f>+G133+5%</f>
        <v>0.90000000000000013</v>
      </c>
      <c r="I133" s="358">
        <f>+H133</f>
        <v>0.90000000000000013</v>
      </c>
    </row>
    <row r="139" spans="1:10" customFormat="1" ht="28.5">
      <c r="A139" s="566"/>
      <c r="B139" s="553" t="s">
        <v>750</v>
      </c>
      <c r="D139" s="366"/>
      <c r="E139" s="366"/>
      <c r="F139" s="366"/>
      <c r="G139" s="366"/>
      <c r="H139" s="366"/>
      <c r="I139" s="366"/>
      <c r="J139" s="366"/>
    </row>
    <row r="140" spans="1:10" customFormat="1" ht="26.25">
      <c r="B140" s="559" t="s">
        <v>751</v>
      </c>
      <c r="C140" s="559" t="s">
        <v>0</v>
      </c>
      <c r="D140" s="560" t="s">
        <v>752</v>
      </c>
      <c r="E140" s="560"/>
      <c r="F140" s="560" t="s">
        <v>378</v>
      </c>
      <c r="G140" s="561" t="s">
        <v>753</v>
      </c>
      <c r="H140" s="561" t="s">
        <v>754</v>
      </c>
    </row>
    <row r="141" spans="1:10" customFormat="1">
      <c r="B141" s="448">
        <v>1</v>
      </c>
      <c r="C141" s="368" t="s">
        <v>755</v>
      </c>
      <c r="D141" s="448" t="s">
        <v>756</v>
      </c>
      <c r="E141" s="448" t="s">
        <v>757</v>
      </c>
      <c r="F141" s="448">
        <v>0</v>
      </c>
      <c r="G141" s="369">
        <v>40000</v>
      </c>
      <c r="H141" s="369">
        <f t="shared" ref="H141:H147" si="24">F141*G141*12/100000</f>
        <v>0</v>
      </c>
    </row>
    <row r="142" spans="1:10" customFormat="1">
      <c r="B142" s="448">
        <v>2</v>
      </c>
      <c r="C142" s="368" t="s">
        <v>758</v>
      </c>
      <c r="D142" s="448" t="s">
        <v>756</v>
      </c>
      <c r="E142" s="448" t="s">
        <v>759</v>
      </c>
      <c r="F142" s="448">
        <v>0</v>
      </c>
      <c r="G142" s="369">
        <v>18000</v>
      </c>
      <c r="H142" s="369">
        <f t="shared" si="24"/>
        <v>0</v>
      </c>
    </row>
    <row r="143" spans="1:10" customFormat="1" ht="26.25">
      <c r="B143" s="448">
        <v>3</v>
      </c>
      <c r="C143" s="368" t="s">
        <v>760</v>
      </c>
      <c r="D143" s="448" t="s">
        <v>756</v>
      </c>
      <c r="E143" s="448" t="s">
        <v>759</v>
      </c>
      <c r="F143" s="448">
        <v>0</v>
      </c>
      <c r="G143" s="369">
        <v>18000</v>
      </c>
      <c r="H143" s="369">
        <f t="shared" si="24"/>
        <v>0</v>
      </c>
    </row>
    <row r="144" spans="1:10" customFormat="1">
      <c r="B144" s="448">
        <v>4</v>
      </c>
      <c r="C144" s="449" t="s">
        <v>761</v>
      </c>
      <c r="D144" s="448" t="s">
        <v>756</v>
      </c>
      <c r="E144" s="448" t="s">
        <v>757</v>
      </c>
      <c r="F144" s="448">
        <v>2</v>
      </c>
      <c r="G144" s="369">
        <v>10000</v>
      </c>
      <c r="H144" s="369">
        <f t="shared" si="24"/>
        <v>2.4</v>
      </c>
    </row>
    <row r="145" spans="2:12" customFormat="1">
      <c r="B145" s="448">
        <v>5</v>
      </c>
      <c r="C145" s="368" t="s">
        <v>183</v>
      </c>
      <c r="D145" s="448" t="s">
        <v>756</v>
      </c>
      <c r="E145" s="448" t="s">
        <v>759</v>
      </c>
      <c r="F145" s="448">
        <v>1</v>
      </c>
      <c r="G145" s="369">
        <v>8000</v>
      </c>
      <c r="H145" s="369">
        <f t="shared" si="24"/>
        <v>0.96</v>
      </c>
    </row>
    <row r="146" spans="2:12" customFormat="1">
      <c r="B146" s="448">
        <v>6</v>
      </c>
      <c r="C146" s="368" t="s">
        <v>762</v>
      </c>
      <c r="D146" s="448" t="s">
        <v>756</v>
      </c>
      <c r="E146" s="448" t="s">
        <v>759</v>
      </c>
      <c r="F146" s="448">
        <v>1</v>
      </c>
      <c r="G146" s="369">
        <v>8000</v>
      </c>
      <c r="H146" s="369">
        <f t="shared" si="24"/>
        <v>0.96</v>
      </c>
    </row>
    <row r="147" spans="2:12" customFormat="1">
      <c r="B147" s="448">
        <v>7</v>
      </c>
      <c r="C147" s="368" t="s">
        <v>763</v>
      </c>
      <c r="D147" s="448" t="s">
        <v>756</v>
      </c>
      <c r="E147" s="448" t="s">
        <v>757</v>
      </c>
      <c r="F147" s="448">
        <v>1</v>
      </c>
      <c r="G147" s="369">
        <v>6000</v>
      </c>
      <c r="H147" s="369">
        <f t="shared" si="24"/>
        <v>0.72</v>
      </c>
    </row>
    <row r="148" spans="2:12" customFormat="1">
      <c r="B148" s="448"/>
      <c r="C148" s="368"/>
      <c r="D148" s="448"/>
      <c r="E148" s="448"/>
      <c r="F148" s="448"/>
      <c r="G148" s="369"/>
      <c r="H148" s="369"/>
    </row>
    <row r="149" spans="2:12" customFormat="1">
      <c r="B149" s="448">
        <v>8</v>
      </c>
      <c r="C149" s="368" t="s">
        <v>764</v>
      </c>
      <c r="D149" s="448" t="s">
        <v>765</v>
      </c>
      <c r="E149" s="448" t="s">
        <v>757</v>
      </c>
      <c r="F149" s="448">
        <v>1</v>
      </c>
      <c r="G149" s="369">
        <v>15000</v>
      </c>
      <c r="H149" s="369">
        <f t="shared" ref="H149:H155" si="25">F149*G149*12/100000</f>
        <v>1.8</v>
      </c>
    </row>
    <row r="150" spans="2:12" customFormat="1" ht="26.25">
      <c r="B150" s="448">
        <v>9</v>
      </c>
      <c r="C150" s="368" t="s">
        <v>766</v>
      </c>
      <c r="D150" s="448" t="s">
        <v>765</v>
      </c>
      <c r="E150" s="448" t="s">
        <v>757</v>
      </c>
      <c r="F150" s="448">
        <v>0</v>
      </c>
      <c r="G150" s="369">
        <v>10000</v>
      </c>
      <c r="H150" s="369">
        <f t="shared" si="25"/>
        <v>0</v>
      </c>
    </row>
    <row r="151" spans="2:12" customFormat="1">
      <c r="B151" s="448">
        <v>10</v>
      </c>
      <c r="C151" s="368" t="s">
        <v>767</v>
      </c>
      <c r="D151" s="448" t="s">
        <v>765</v>
      </c>
      <c r="E151" s="448" t="s">
        <v>768</v>
      </c>
      <c r="F151" s="448">
        <v>2</v>
      </c>
      <c r="G151" s="369">
        <v>14000</v>
      </c>
      <c r="H151" s="369">
        <f t="shared" si="25"/>
        <v>3.36</v>
      </c>
    </row>
    <row r="152" spans="2:12" customFormat="1">
      <c r="B152" s="448">
        <v>11</v>
      </c>
      <c r="C152" s="368" t="s">
        <v>769</v>
      </c>
      <c r="D152" s="448" t="s">
        <v>765</v>
      </c>
      <c r="E152" s="448" t="s">
        <v>757</v>
      </c>
      <c r="F152" s="448">
        <v>0</v>
      </c>
      <c r="G152" s="369">
        <v>9000</v>
      </c>
      <c r="H152" s="369">
        <f t="shared" si="25"/>
        <v>0</v>
      </c>
    </row>
    <row r="153" spans="2:12" customFormat="1">
      <c r="B153" s="448">
        <v>12</v>
      </c>
      <c r="C153" s="368" t="s">
        <v>770</v>
      </c>
      <c r="D153" s="448" t="s">
        <v>765</v>
      </c>
      <c r="E153" s="448"/>
      <c r="F153" s="448">
        <v>0</v>
      </c>
      <c r="G153" s="369">
        <v>8000</v>
      </c>
      <c r="H153" s="369">
        <f t="shared" si="25"/>
        <v>0</v>
      </c>
    </row>
    <row r="154" spans="2:12" customFormat="1">
      <c r="B154" s="448">
        <v>13</v>
      </c>
      <c r="C154" s="374" t="s">
        <v>771</v>
      </c>
      <c r="D154" s="448" t="s">
        <v>765</v>
      </c>
      <c r="E154" s="448" t="s">
        <v>757</v>
      </c>
      <c r="F154" s="448">
        <v>1</v>
      </c>
      <c r="G154" s="369">
        <v>8000</v>
      </c>
      <c r="H154" s="369">
        <f t="shared" si="25"/>
        <v>0.96</v>
      </c>
    </row>
    <row r="155" spans="2:12" customFormat="1">
      <c r="B155" s="448">
        <v>14</v>
      </c>
      <c r="C155" s="374" t="s">
        <v>772</v>
      </c>
      <c r="D155" s="448" t="s">
        <v>765</v>
      </c>
      <c r="E155" s="448" t="s">
        <v>768</v>
      </c>
      <c r="F155" s="448">
        <v>0</v>
      </c>
      <c r="G155" s="369">
        <v>8000</v>
      </c>
      <c r="H155" s="369">
        <f t="shared" si="25"/>
        <v>0</v>
      </c>
    </row>
    <row r="156" spans="2:12" customFormat="1">
      <c r="B156" s="368"/>
      <c r="C156" s="370" t="s">
        <v>1</v>
      </c>
      <c r="D156" s="448"/>
      <c r="E156" s="448"/>
      <c r="F156" s="450">
        <f>SUM(F141:F155)</f>
        <v>9</v>
      </c>
      <c r="G156" s="451"/>
      <c r="H156" s="451">
        <f>SUM(H141:H155)</f>
        <v>11.16</v>
      </c>
    </row>
    <row r="157" spans="2:12" customFormat="1">
      <c r="B157" s="368"/>
      <c r="C157" s="368"/>
      <c r="D157" s="448"/>
      <c r="E157" s="448"/>
      <c r="F157" s="448"/>
      <c r="G157" s="369"/>
      <c r="H157" s="369"/>
    </row>
    <row r="158" spans="2:12" customFormat="1">
      <c r="B158" s="368"/>
      <c r="C158" s="370" t="s">
        <v>773</v>
      </c>
      <c r="D158" s="448" t="s">
        <v>765</v>
      </c>
      <c r="E158" s="448"/>
      <c r="F158" s="452">
        <v>10</v>
      </c>
      <c r="G158" s="453" t="s">
        <v>774</v>
      </c>
      <c r="H158" s="453" t="s">
        <v>2</v>
      </c>
    </row>
    <row r="159" spans="2:12" customFormat="1"/>
    <row r="160" spans="2:12" customFormat="1">
      <c r="B160" s="10"/>
      <c r="C160" s="10" t="s">
        <v>2</v>
      </c>
      <c r="D160" s="10" t="s">
        <v>3</v>
      </c>
      <c r="E160" s="10" t="s">
        <v>4</v>
      </c>
      <c r="F160" s="10" t="s">
        <v>5</v>
      </c>
      <c r="G160" s="10" t="s">
        <v>6</v>
      </c>
      <c r="H160" s="10" t="s">
        <v>163</v>
      </c>
      <c r="I160" s="323" t="s">
        <v>162</v>
      </c>
      <c r="J160" s="454"/>
      <c r="K160" s="254"/>
      <c r="L160" s="254"/>
    </row>
    <row r="161" spans="2:12" customFormat="1">
      <c r="B161" s="370" t="s">
        <v>773</v>
      </c>
      <c r="C161" s="10">
        <f>+F158</f>
        <v>10</v>
      </c>
      <c r="D161" s="10">
        <f t="shared" ref="D161:I161" si="26">ROUND(C161*1.1,0)</f>
        <v>11</v>
      </c>
      <c r="E161" s="10">
        <f t="shared" si="26"/>
        <v>12</v>
      </c>
      <c r="F161" s="10">
        <f t="shared" si="26"/>
        <v>13</v>
      </c>
      <c r="G161" s="10">
        <f t="shared" si="26"/>
        <v>14</v>
      </c>
      <c r="H161" s="10">
        <f t="shared" si="26"/>
        <v>15</v>
      </c>
      <c r="I161" s="323">
        <f t="shared" si="26"/>
        <v>17</v>
      </c>
      <c r="J161" s="455"/>
      <c r="K161" s="252"/>
      <c r="L161" s="252"/>
    </row>
    <row r="162" spans="2:12" customFormat="1">
      <c r="D162" s="366"/>
      <c r="E162" s="366"/>
      <c r="F162" s="366"/>
      <c r="G162" s="366"/>
      <c r="H162" s="366"/>
      <c r="I162" s="366"/>
      <c r="J162" s="366"/>
    </row>
    <row r="163" spans="2:12" customFormat="1">
      <c r="D163" s="366"/>
      <c r="E163" s="366"/>
      <c r="F163" s="366"/>
      <c r="G163" s="366"/>
      <c r="H163" s="366"/>
      <c r="I163" s="366"/>
      <c r="J163" s="366"/>
    </row>
    <row r="164" spans="2:12" customFormat="1">
      <c r="D164" s="366"/>
      <c r="E164" s="366"/>
      <c r="F164" s="366"/>
      <c r="G164" s="366"/>
      <c r="H164" s="366"/>
      <c r="I164" s="366"/>
      <c r="J164" s="366"/>
    </row>
    <row r="165" spans="2:12" customFormat="1" ht="26.25">
      <c r="B165" s="558" t="s">
        <v>779</v>
      </c>
      <c r="C165" s="562"/>
      <c r="D165" s="563"/>
      <c r="E165" s="563"/>
      <c r="F165" s="366"/>
      <c r="G165" s="366"/>
      <c r="H165" s="366"/>
      <c r="I165" s="366"/>
      <c r="J165" s="366"/>
    </row>
    <row r="166" spans="2:12" customFormat="1">
      <c r="B166" s="775" t="s">
        <v>777</v>
      </c>
      <c r="C166" s="775"/>
      <c r="D166" s="775"/>
      <c r="E166" s="775"/>
      <c r="F166" s="366"/>
      <c r="G166" s="366"/>
      <c r="H166" s="366"/>
      <c r="I166" s="366"/>
      <c r="J166" s="366"/>
    </row>
    <row r="167" spans="2:12" customFormat="1">
      <c r="B167" s="368">
        <v>5</v>
      </c>
      <c r="C167" s="368">
        <v>200</v>
      </c>
      <c r="D167" s="368">
        <v>12</v>
      </c>
      <c r="E167" s="367">
        <f>B167*C167*D167</f>
        <v>12000</v>
      </c>
      <c r="F167" s="366"/>
      <c r="G167" s="366"/>
      <c r="H167" s="366"/>
      <c r="I167" s="366"/>
      <c r="J167" s="366"/>
    </row>
    <row r="168" spans="2:12" customFormat="1">
      <c r="B168" s="368"/>
      <c r="C168" s="368"/>
      <c r="D168" s="368"/>
      <c r="E168" s="367"/>
      <c r="F168" s="366"/>
      <c r="G168" s="366"/>
      <c r="H168" s="366"/>
      <c r="I168" s="366"/>
      <c r="J168" s="366"/>
    </row>
    <row r="169" spans="2:12" customFormat="1">
      <c r="B169" s="368">
        <v>30</v>
      </c>
      <c r="C169" s="368">
        <v>200</v>
      </c>
      <c r="D169" s="368">
        <v>12</v>
      </c>
      <c r="E169" s="368">
        <f>B169*C169*D169</f>
        <v>72000</v>
      </c>
      <c r="F169" s="366"/>
      <c r="G169" s="366"/>
      <c r="H169" s="366"/>
      <c r="I169" s="366"/>
      <c r="J169" s="366"/>
    </row>
    <row r="170" spans="2:12" customFormat="1">
      <c r="B170" s="776" t="s">
        <v>778</v>
      </c>
      <c r="C170" s="777"/>
      <c r="D170" s="777"/>
      <c r="E170" s="778"/>
      <c r="F170" s="366"/>
      <c r="G170" s="366"/>
      <c r="H170" s="366"/>
      <c r="I170" s="366"/>
      <c r="J170" s="366"/>
    </row>
    <row r="171" spans="2:12" customFormat="1">
      <c r="B171" s="368">
        <f>B169+B167</f>
        <v>35</v>
      </c>
      <c r="C171" s="368"/>
      <c r="D171" s="368"/>
      <c r="E171" s="368"/>
      <c r="F171" s="366"/>
      <c r="G171" s="366"/>
      <c r="H171" s="366"/>
      <c r="I171" s="366"/>
      <c r="J171" s="366"/>
    </row>
    <row r="172" spans="2:12" customFormat="1">
      <c r="B172" s="368"/>
      <c r="C172" s="368"/>
      <c r="D172" s="368"/>
      <c r="E172" s="368"/>
      <c r="F172" s="366"/>
      <c r="G172" s="366"/>
      <c r="H172" s="366"/>
      <c r="I172" s="366"/>
      <c r="J172" s="366"/>
    </row>
    <row r="173" spans="2:12" customFormat="1">
      <c r="B173" s="368">
        <v>0.8</v>
      </c>
      <c r="C173" s="368"/>
      <c r="D173" s="368"/>
      <c r="E173" s="368"/>
      <c r="F173" s="366"/>
      <c r="G173" s="366"/>
      <c r="H173" s="366"/>
      <c r="I173" s="366"/>
      <c r="J173" s="366"/>
    </row>
    <row r="174" spans="2:12" customFormat="1">
      <c r="B174" s="368">
        <v>0.8</v>
      </c>
      <c r="C174" s="368"/>
      <c r="D174" s="368"/>
      <c r="E174" s="368"/>
      <c r="F174" s="366"/>
      <c r="G174" s="366"/>
      <c r="H174" s="366"/>
      <c r="I174" s="366"/>
      <c r="J174" s="366"/>
    </row>
    <row r="175" spans="2:12" customFormat="1">
      <c r="B175" s="368">
        <v>10</v>
      </c>
      <c r="C175" s="368"/>
      <c r="D175" s="368"/>
      <c r="E175" s="368"/>
      <c r="F175" s="366"/>
      <c r="G175" s="366"/>
      <c r="H175" s="366"/>
      <c r="I175" s="366"/>
      <c r="J175" s="366"/>
    </row>
    <row r="176" spans="2:12" customFormat="1">
      <c r="B176" s="368">
        <v>10</v>
      </c>
      <c r="C176" s="368"/>
      <c r="D176" s="368"/>
      <c r="E176" s="368"/>
      <c r="F176" s="366"/>
      <c r="G176" s="366"/>
      <c r="H176" s="366"/>
      <c r="I176" s="366"/>
      <c r="J176" s="366"/>
    </row>
    <row r="177" spans="2:10" customFormat="1">
      <c r="B177" s="367">
        <f>B171*B173*B174*B175*B176</f>
        <v>2240.0000000000005</v>
      </c>
      <c r="C177" s="368"/>
      <c r="D177" s="368"/>
      <c r="E177" s="368"/>
      <c r="F177" s="366">
        <f>+B177/10</f>
        <v>224.00000000000006</v>
      </c>
      <c r="G177" s="366"/>
      <c r="H177" s="366"/>
      <c r="I177" s="366"/>
      <c r="J177" s="366"/>
    </row>
    <row r="180" spans="2:10" ht="18.75">
      <c r="B180" s="605" t="s">
        <v>853</v>
      </c>
    </row>
    <row r="181" spans="2:10">
      <c r="B181" s="602" t="s">
        <v>656</v>
      </c>
      <c r="C181" s="326" t="s">
        <v>0</v>
      </c>
      <c r="D181" s="603" t="s">
        <v>2</v>
      </c>
      <c r="E181" s="603" t="s">
        <v>3</v>
      </c>
      <c r="F181" s="603" t="s">
        <v>4</v>
      </c>
      <c r="G181" s="603" t="s">
        <v>5</v>
      </c>
      <c r="H181" s="603" t="s">
        <v>6</v>
      </c>
      <c r="I181" s="603" t="s">
        <v>163</v>
      </c>
      <c r="J181" s="606" t="s">
        <v>162</v>
      </c>
    </row>
    <row r="182" spans="2:10">
      <c r="B182" s="339" t="s">
        <v>167</v>
      </c>
      <c r="C182" s="316" t="s">
        <v>854</v>
      </c>
      <c r="D182" s="333">
        <v>0</v>
      </c>
      <c r="E182" s="333">
        <f>+ROUND(D182*1.05,)</f>
        <v>0</v>
      </c>
      <c r="F182" s="333">
        <f t="shared" ref="F182:J182" si="27">+ROUND(E182*1.05,)</f>
        <v>0</v>
      </c>
      <c r="G182" s="333">
        <f t="shared" si="27"/>
        <v>0</v>
      </c>
      <c r="H182" s="333">
        <f t="shared" si="27"/>
        <v>0</v>
      </c>
      <c r="I182" s="333">
        <f t="shared" si="27"/>
        <v>0</v>
      </c>
      <c r="J182" s="607">
        <f t="shared" si="27"/>
        <v>0</v>
      </c>
    </row>
    <row r="183" spans="2:10">
      <c r="C183" s="333" t="s">
        <v>856</v>
      </c>
      <c r="D183" s="340">
        <v>0</v>
      </c>
      <c r="E183" s="418">
        <f t="shared" ref="E183:J183" si="28">ROUND(D183*1.05,-1)</f>
        <v>0</v>
      </c>
      <c r="F183" s="418">
        <f t="shared" si="28"/>
        <v>0</v>
      </c>
      <c r="G183" s="418">
        <f t="shared" si="28"/>
        <v>0</v>
      </c>
      <c r="H183" s="418">
        <f t="shared" si="28"/>
        <v>0</v>
      </c>
      <c r="I183" s="418">
        <f t="shared" si="28"/>
        <v>0</v>
      </c>
      <c r="J183" s="418">
        <f t="shared" si="28"/>
        <v>0</v>
      </c>
    </row>
    <row r="185" spans="2:10">
      <c r="C185" s="316" t="s">
        <v>857</v>
      </c>
      <c r="D185" s="333">
        <v>0</v>
      </c>
      <c r="E185" s="333">
        <f>+ROUND(D185*1.05,)</f>
        <v>0</v>
      </c>
      <c r="F185" s="333">
        <f t="shared" ref="F185:J185" si="29">+ROUND(E185*1.05,)</f>
        <v>0</v>
      </c>
      <c r="G185" s="333">
        <f t="shared" si="29"/>
        <v>0</v>
      </c>
      <c r="H185" s="333">
        <f t="shared" si="29"/>
        <v>0</v>
      </c>
      <c r="I185" s="333">
        <f t="shared" si="29"/>
        <v>0</v>
      </c>
      <c r="J185" s="607">
        <f t="shared" si="29"/>
        <v>0</v>
      </c>
    </row>
    <row r="186" spans="2:10">
      <c r="C186" s="333" t="s">
        <v>856</v>
      </c>
      <c r="D186" s="418">
        <v>0</v>
      </c>
      <c r="E186" s="418">
        <f t="shared" ref="E186:J186" si="30">ROUND(D186*1.05,-1)</f>
        <v>0</v>
      </c>
      <c r="F186" s="418">
        <f t="shared" si="30"/>
        <v>0</v>
      </c>
      <c r="G186" s="418">
        <f t="shared" si="30"/>
        <v>0</v>
      </c>
      <c r="H186" s="418">
        <f t="shared" si="30"/>
        <v>0</v>
      </c>
      <c r="I186" s="418">
        <f t="shared" si="30"/>
        <v>0</v>
      </c>
      <c r="J186" s="418">
        <f t="shared" si="30"/>
        <v>0</v>
      </c>
    </row>
  </sheetData>
  <mergeCells count="2">
    <mergeCell ref="B166:E166"/>
    <mergeCell ref="B170:E170"/>
  </mergeCell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34"/>
  <sheetViews>
    <sheetView view="pageBreakPreview" topLeftCell="A17" zoomScaleSheetLayoutView="100" workbookViewId="0">
      <selection activeCell="D32" sqref="D32"/>
    </sheetView>
  </sheetViews>
  <sheetFormatPr defaultRowHeight="15"/>
  <cols>
    <col min="2" max="2" width="7.5703125" bestFit="1" customWidth="1"/>
    <col min="3" max="3" width="26.28515625" bestFit="1" customWidth="1"/>
    <col min="4" max="4" width="15" style="366" customWidth="1"/>
    <col min="5" max="5" width="16" style="366" customWidth="1"/>
    <col min="6" max="6" width="17.85546875" style="366" customWidth="1"/>
  </cols>
  <sheetData>
    <row r="2" spans="1:10" ht="18.75">
      <c r="B2" s="703" t="s">
        <v>494</v>
      </c>
      <c r="C2" s="703"/>
      <c r="D2" s="703"/>
      <c r="E2" s="703"/>
      <c r="F2" s="703"/>
    </row>
    <row r="4" spans="1:10">
      <c r="B4" s="294" t="s">
        <v>140</v>
      </c>
      <c r="C4" s="294" t="s">
        <v>125</v>
      </c>
      <c r="D4" s="500" t="s">
        <v>154</v>
      </c>
      <c r="E4" s="501" t="s">
        <v>441</v>
      </c>
      <c r="F4" s="501" t="s">
        <v>442</v>
      </c>
      <c r="H4" s="641" t="s">
        <v>887</v>
      </c>
      <c r="I4" s="641" t="s">
        <v>888</v>
      </c>
    </row>
    <row r="5" spans="1:10">
      <c r="B5" s="295">
        <v>1</v>
      </c>
      <c r="C5" s="296" t="str">
        <f>'2.Capex Details'!B2</f>
        <v>Land and Building</v>
      </c>
      <c r="D5" s="502">
        <f>'2.Capex Details'!G12</f>
        <v>109.31</v>
      </c>
      <c r="E5" s="503">
        <v>0.6</v>
      </c>
      <c r="F5" s="504">
        <f>D5*E5</f>
        <v>65.585999999999999</v>
      </c>
      <c r="H5">
        <f>+D5*0.2</f>
        <v>21.862000000000002</v>
      </c>
      <c r="I5">
        <f>+H5</f>
        <v>21.862000000000002</v>
      </c>
    </row>
    <row r="6" spans="1:10">
      <c r="B6" s="295">
        <v>2</v>
      </c>
      <c r="C6" s="296" t="str">
        <f>'2.Capex Details'!B17</f>
        <v>Machinery and Equipment</v>
      </c>
      <c r="D6" s="502">
        <f>'2.Capex Details'!G68</f>
        <v>76.734380000000002</v>
      </c>
      <c r="E6" s="503">
        <v>0.6</v>
      </c>
      <c r="F6" s="504">
        <f t="shared" ref="F6:F10" si="0">D6*E6</f>
        <v>46.040627999999998</v>
      </c>
      <c r="J6" s="366"/>
    </row>
    <row r="7" spans="1:10">
      <c r="B7" s="295">
        <v>3</v>
      </c>
      <c r="C7" s="296" t="str">
        <f>'2.Capex Details'!B74</f>
        <v>Furniture and Fixture</v>
      </c>
      <c r="D7" s="502">
        <f>'2.Capex Details'!F83</f>
        <v>0</v>
      </c>
      <c r="E7" s="503">
        <v>0.6</v>
      </c>
      <c r="F7" s="504">
        <f t="shared" si="0"/>
        <v>0</v>
      </c>
    </row>
    <row r="8" spans="1:10">
      <c r="B8" s="295">
        <v>4</v>
      </c>
      <c r="C8" s="296" t="str">
        <f>'2.Capex Details'!B88</f>
        <v>IT &amp; It Infrastracture</v>
      </c>
      <c r="D8" s="502">
        <f>'2.Capex Details'!F97</f>
        <v>0</v>
      </c>
      <c r="E8" s="503">
        <v>0.6</v>
      </c>
      <c r="F8" s="504">
        <f t="shared" si="0"/>
        <v>0</v>
      </c>
    </row>
    <row r="9" spans="1:10" ht="25.5">
      <c r="B9" s="295">
        <v>5</v>
      </c>
      <c r="C9" s="296" t="str">
        <f>'2.Capex Details'!B102</f>
        <v>Transport vehical  (Refer van and other)</v>
      </c>
      <c r="D9" s="502">
        <f>'2.Capex Details'!F108</f>
        <v>0</v>
      </c>
      <c r="E9" s="503">
        <v>0.6</v>
      </c>
      <c r="F9" s="504">
        <f t="shared" si="0"/>
        <v>0</v>
      </c>
    </row>
    <row r="10" spans="1:10">
      <c r="B10" s="295">
        <v>6</v>
      </c>
      <c r="C10" s="296" t="str">
        <f>'2.Capex Details'!B112</f>
        <v>Preliminary Expenses</v>
      </c>
      <c r="D10" s="502">
        <f>'2.Capex Details'!D120</f>
        <v>9.3022189999999991</v>
      </c>
      <c r="E10" s="503">
        <v>0.6</v>
      </c>
      <c r="F10" s="504">
        <f t="shared" si="0"/>
        <v>5.5813313999999989</v>
      </c>
    </row>
    <row r="11" spans="1:10">
      <c r="B11" s="295">
        <v>7</v>
      </c>
      <c r="C11" s="296" t="s">
        <v>152</v>
      </c>
      <c r="D11" s="502">
        <f>'5.Closing Stock &amp; W Capital'!E57</f>
        <v>2.8461479616593564</v>
      </c>
      <c r="E11" s="504"/>
      <c r="F11" s="504"/>
    </row>
    <row r="12" spans="1:10">
      <c r="B12" s="702" t="s">
        <v>1</v>
      </c>
      <c r="C12" s="702"/>
      <c r="D12" s="505">
        <f>SUM(D5:D11)</f>
        <v>198.19274696165937</v>
      </c>
      <c r="E12" s="504"/>
      <c r="F12" s="505">
        <f>SUM(F5:F11)</f>
        <v>117.20795939999999</v>
      </c>
      <c r="I12" s="366"/>
      <c r="J12" s="366"/>
    </row>
    <row r="14" spans="1:10" ht="25.5" customHeight="1">
      <c r="A14" s="705" t="s">
        <v>395</v>
      </c>
      <c r="B14" s="705"/>
      <c r="C14" s="705"/>
      <c r="D14" s="705"/>
      <c r="E14" s="705"/>
      <c r="F14" s="705"/>
    </row>
    <row r="16" spans="1:10" ht="18.75">
      <c r="B16" s="703" t="s">
        <v>495</v>
      </c>
      <c r="C16" s="703"/>
      <c r="D16" s="703"/>
      <c r="E16" s="703"/>
      <c r="F16" s="703"/>
    </row>
    <row r="18" spans="2:13">
      <c r="B18" s="293" t="s">
        <v>140</v>
      </c>
      <c r="C18" s="294" t="s">
        <v>125</v>
      </c>
      <c r="D18" s="500" t="s">
        <v>583</v>
      </c>
      <c r="E18" s="500" t="s">
        <v>154</v>
      </c>
      <c r="F18" s="500" t="s">
        <v>437</v>
      </c>
    </row>
    <row r="19" spans="2:13">
      <c r="B19" s="295">
        <v>3</v>
      </c>
      <c r="C19" s="296" t="s">
        <v>130</v>
      </c>
      <c r="D19" s="506"/>
      <c r="E19" s="506">
        <f>D12-E20-E21</f>
        <v>41.915467761659372</v>
      </c>
      <c r="F19" s="564">
        <f>+E19/E22</f>
        <v>0.21148840411283046</v>
      </c>
    </row>
    <row r="20" spans="2:13" ht="25.5">
      <c r="B20" s="295">
        <v>1</v>
      </c>
      <c r="C20" s="296" t="s">
        <v>319</v>
      </c>
      <c r="D20" s="506"/>
      <c r="E20" s="506">
        <f>F12</f>
        <v>117.20795939999999</v>
      </c>
      <c r="F20" s="564">
        <f>+E20/E22</f>
        <v>0.59138369691537707</v>
      </c>
    </row>
    <row r="21" spans="2:13">
      <c r="B21" s="295">
        <v>2</v>
      </c>
      <c r="C21" s="296" t="s">
        <v>153</v>
      </c>
      <c r="D21" s="638">
        <v>0.2</v>
      </c>
      <c r="E21" s="506">
        <f>SUM(D5:D10)*D21</f>
        <v>39.069319800000002</v>
      </c>
      <c r="F21" s="564">
        <f>+$E$21/E22</f>
        <v>0.19712789897179236</v>
      </c>
    </row>
    <row r="22" spans="2:13">
      <c r="B22" s="702" t="s">
        <v>1</v>
      </c>
      <c r="C22" s="702"/>
      <c r="D22" s="507"/>
      <c r="E22" s="507">
        <f>SUM(E19:E21)</f>
        <v>198.1927469616594</v>
      </c>
      <c r="F22" s="278">
        <v>1</v>
      </c>
    </row>
    <row r="24" spans="2:13">
      <c r="B24" s="704" t="s">
        <v>396</v>
      </c>
      <c r="C24" s="704"/>
      <c r="D24" s="704"/>
      <c r="E24" s="704"/>
      <c r="F24" s="704"/>
    </row>
    <row r="26" spans="2:13" ht="18.75">
      <c r="B26" s="701" t="s">
        <v>496</v>
      </c>
      <c r="C26" s="701"/>
      <c r="D26" s="701"/>
      <c r="E26" s="701"/>
      <c r="F26" s="701"/>
      <c r="K26">
        <v>23000</v>
      </c>
      <c r="L26">
        <v>300</v>
      </c>
      <c r="M26">
        <f>+L26*K26</f>
        <v>6900000</v>
      </c>
    </row>
    <row r="27" spans="2:13">
      <c r="B27" s="297" t="s">
        <v>140</v>
      </c>
      <c r="C27" s="298" t="s">
        <v>539</v>
      </c>
      <c r="D27" s="508" t="s">
        <v>540</v>
      </c>
      <c r="E27" s="509" t="s">
        <v>541</v>
      </c>
      <c r="F27" s="699" t="s">
        <v>542</v>
      </c>
      <c r="G27" s="700"/>
      <c r="K27">
        <v>5476405</v>
      </c>
    </row>
    <row r="28" spans="2:13" ht="25.5">
      <c r="B28" s="299">
        <v>1</v>
      </c>
      <c r="C28" s="296" t="s">
        <v>364</v>
      </c>
      <c r="D28" s="623">
        <f>'9. Financial indiacators'!C46</f>
        <v>0.44642787787323274</v>
      </c>
      <c r="E28" s="510" t="s">
        <v>365</v>
      </c>
      <c r="F28" s="511" t="s">
        <v>543</v>
      </c>
      <c r="G28" s="299" t="s">
        <v>366</v>
      </c>
      <c r="K28">
        <f>+K27/K26</f>
        <v>238.1045652173913</v>
      </c>
    </row>
    <row r="29" spans="2:13" ht="38.25">
      <c r="B29" s="299">
        <v>2</v>
      </c>
      <c r="C29" s="296" t="s">
        <v>367</v>
      </c>
      <c r="D29" s="623">
        <f>'9. Financial indiacators'!C82</f>
        <v>0.20703671530443896</v>
      </c>
      <c r="E29" s="510" t="s">
        <v>365</v>
      </c>
      <c r="F29" s="511" t="s">
        <v>544</v>
      </c>
      <c r="G29" s="299" t="s">
        <v>368</v>
      </c>
    </row>
    <row r="30" spans="2:13" ht="38.25">
      <c r="B30" s="299">
        <v>3</v>
      </c>
      <c r="C30" s="296" t="s">
        <v>369</v>
      </c>
      <c r="D30" s="623">
        <f>'9. Financial indiacators'!C16</f>
        <v>0.14425130043148759</v>
      </c>
      <c r="E30" s="510" t="s">
        <v>365</v>
      </c>
      <c r="F30" s="511" t="s">
        <v>545</v>
      </c>
      <c r="G30" s="299" t="s">
        <v>370</v>
      </c>
    </row>
    <row r="31" spans="2:13" ht="63.75">
      <c r="B31" s="299">
        <v>4</v>
      </c>
      <c r="C31" s="296" t="s">
        <v>371</v>
      </c>
      <c r="D31" s="510">
        <f>'9. Financial indiacators'!C70</f>
        <v>34.591263761430184</v>
      </c>
      <c r="E31" s="510" t="s">
        <v>375</v>
      </c>
      <c r="F31" s="511" t="s">
        <v>546</v>
      </c>
      <c r="G31" s="299" t="s">
        <v>372</v>
      </c>
    </row>
    <row r="32" spans="2:13" ht="51">
      <c r="B32" s="299">
        <v>5</v>
      </c>
      <c r="C32" s="296" t="s">
        <v>373</v>
      </c>
      <c r="D32" s="510">
        <f>'9. Financial indiacators'!D98</f>
        <v>4.6423577003621066</v>
      </c>
      <c r="E32" s="510" t="s">
        <v>365</v>
      </c>
      <c r="F32" s="511" t="s">
        <v>547</v>
      </c>
      <c r="G32" s="299" t="s">
        <v>376</v>
      </c>
    </row>
    <row r="33" spans="2:7" ht="38.25">
      <c r="B33" s="299">
        <v>6</v>
      </c>
      <c r="C33" s="300" t="s">
        <v>374</v>
      </c>
      <c r="D33" s="510">
        <f>+'9. Financial indiacators'!C116</f>
        <v>2.4566164626029754</v>
      </c>
      <c r="E33" s="512" t="s">
        <v>365</v>
      </c>
      <c r="F33" s="511" t="s">
        <v>548</v>
      </c>
      <c r="G33" s="300" t="s">
        <v>377</v>
      </c>
    </row>
    <row r="34" spans="2:7">
      <c r="D34" s="640"/>
    </row>
  </sheetData>
  <mergeCells count="8">
    <mergeCell ref="F27:G27"/>
    <mergeCell ref="B26:F26"/>
    <mergeCell ref="B12:C12"/>
    <mergeCell ref="B22:C22"/>
    <mergeCell ref="B2:F2"/>
    <mergeCell ref="B16:F16"/>
    <mergeCell ref="B24:F24"/>
    <mergeCell ref="A14:F14"/>
  </mergeCells>
  <conditionalFormatting sqref="D23">
    <cfRule type="cellIs" dxfId="4" priority="1" operator="greaterThan">
      <formula>0</formula>
    </cfRule>
  </conditionalFormatting>
  <pageMargins left="0.7" right="0.7" top="0.75" bottom="0.75" header="0.3" footer="0.3"/>
  <pageSetup scale="8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O126"/>
  <sheetViews>
    <sheetView tabSelected="1" view="pageBreakPreview" topLeftCell="A43" zoomScale="80" zoomScaleSheetLayoutView="80" workbookViewId="0">
      <selection activeCell="E55" sqref="E55"/>
    </sheetView>
  </sheetViews>
  <sheetFormatPr defaultRowHeight="15"/>
  <cols>
    <col min="2" max="2" width="7.5703125" bestFit="1" customWidth="1"/>
    <col min="3" max="3" width="41.5703125" customWidth="1"/>
    <col min="4" max="4" width="9.7109375" customWidth="1"/>
    <col min="5" max="5" width="17" customWidth="1"/>
    <col min="6" max="6" width="14" bestFit="1" customWidth="1"/>
    <col min="7" max="7" width="10.42578125" style="18" bestFit="1" customWidth="1"/>
    <col min="8" max="8" width="11.5703125" bestFit="1" customWidth="1"/>
    <col min="10" max="10" width="11.28515625" bestFit="1" customWidth="1"/>
  </cols>
  <sheetData>
    <row r="2" spans="1:7" ht="18.75">
      <c r="A2">
        <v>2.1</v>
      </c>
      <c r="B2" s="703" t="s">
        <v>150</v>
      </c>
      <c r="C2" s="703"/>
      <c r="D2" s="703"/>
      <c r="E2" s="703"/>
      <c r="F2" s="703"/>
      <c r="G2" s="703"/>
    </row>
    <row r="4" spans="1:7" ht="28.5">
      <c r="B4" s="176" t="s">
        <v>140</v>
      </c>
      <c r="C4" s="176" t="s">
        <v>125</v>
      </c>
      <c r="D4" s="176" t="s">
        <v>128</v>
      </c>
      <c r="E4" s="176" t="s">
        <v>141</v>
      </c>
      <c r="F4" s="176" t="s">
        <v>142</v>
      </c>
      <c r="G4" s="381" t="s">
        <v>154</v>
      </c>
    </row>
    <row r="5" spans="1:7">
      <c r="B5" s="221">
        <v>1</v>
      </c>
      <c r="C5" s="221" t="s">
        <v>143</v>
      </c>
      <c r="D5" s="221" t="s">
        <v>144</v>
      </c>
      <c r="E5" s="301"/>
      <c r="F5" s="302"/>
      <c r="G5" s="382" t="s">
        <v>145</v>
      </c>
    </row>
    <row r="6" spans="1:7">
      <c r="B6" s="221"/>
      <c r="C6" s="379" t="s">
        <v>862</v>
      </c>
      <c r="D6" s="222" t="s">
        <v>288</v>
      </c>
      <c r="E6" s="189">
        <v>700</v>
      </c>
      <c r="F6" s="643">
        <f>+G6*100000/E6</f>
        <v>11525.714285714286</v>
      </c>
      <c r="G6" s="383">
        <v>80.680000000000007</v>
      </c>
    </row>
    <row r="7" spans="1:7">
      <c r="B7" s="221"/>
      <c r="C7" s="221" t="s">
        <v>911</v>
      </c>
      <c r="D7" s="222" t="s">
        <v>912</v>
      </c>
      <c r="E7" s="189">
        <v>158.26</v>
      </c>
      <c r="F7" s="643">
        <f>+G7*100000/E7</f>
        <v>18090.484013648427</v>
      </c>
      <c r="G7" s="383">
        <v>28.63</v>
      </c>
    </row>
    <row r="8" spans="1:7">
      <c r="B8" s="221"/>
      <c r="C8" s="221"/>
      <c r="D8" s="222"/>
      <c r="E8" s="189"/>
      <c r="F8" s="190"/>
      <c r="G8" s="383">
        <f t="shared" ref="G8:G11" si="0">E8*F8</f>
        <v>0</v>
      </c>
    </row>
    <row r="9" spans="1:7">
      <c r="B9" s="221"/>
      <c r="C9" s="221"/>
      <c r="D9" s="222"/>
      <c r="E9" s="189"/>
      <c r="F9" s="190"/>
      <c r="G9" s="383">
        <f t="shared" si="0"/>
        <v>0</v>
      </c>
    </row>
    <row r="10" spans="1:7">
      <c r="B10" s="221"/>
      <c r="C10" s="221"/>
      <c r="D10" s="222"/>
      <c r="E10" s="189"/>
      <c r="F10" s="190"/>
      <c r="G10" s="383">
        <f t="shared" si="0"/>
        <v>0</v>
      </c>
    </row>
    <row r="11" spans="1:7">
      <c r="B11" s="221"/>
      <c r="C11" s="221"/>
      <c r="D11" s="222"/>
      <c r="E11" s="189"/>
      <c r="F11" s="190"/>
      <c r="G11" s="383">
        <f t="shared" si="0"/>
        <v>0</v>
      </c>
    </row>
    <row r="12" spans="1:7">
      <c r="B12" s="706" t="s">
        <v>1</v>
      </c>
      <c r="C12" s="706"/>
      <c r="D12" s="706"/>
      <c r="E12" s="706"/>
      <c r="F12" s="706"/>
      <c r="G12" s="384">
        <f>SUM(G6:G11)</f>
        <v>109.31</v>
      </c>
    </row>
    <row r="15" spans="1:7">
      <c r="B15" s="704" t="s">
        <v>391</v>
      </c>
      <c r="C15" s="704"/>
      <c r="D15" s="704"/>
      <c r="E15" s="704"/>
      <c r="F15" s="704"/>
      <c r="G15" s="704"/>
    </row>
    <row r="17" spans="1:8" ht="18.75">
      <c r="A17">
        <v>2.2000000000000002</v>
      </c>
      <c r="B17" s="703" t="s">
        <v>151</v>
      </c>
      <c r="C17" s="703"/>
      <c r="D17" s="703"/>
      <c r="E17" s="703"/>
      <c r="F17" s="703"/>
      <c r="G17" s="703"/>
      <c r="H17" s="703"/>
    </row>
    <row r="18" spans="1:8">
      <c r="B18" s="19"/>
    </row>
    <row r="19" spans="1:8" ht="28.5">
      <c r="B19" s="276" t="s">
        <v>140</v>
      </c>
      <c r="C19" s="276" t="s">
        <v>146</v>
      </c>
      <c r="D19" s="276" t="s">
        <v>156</v>
      </c>
      <c r="E19" s="276" t="s">
        <v>147</v>
      </c>
      <c r="F19" s="276" t="s">
        <v>148</v>
      </c>
      <c r="G19" s="381" t="s">
        <v>154</v>
      </c>
      <c r="H19" s="276" t="s">
        <v>149</v>
      </c>
    </row>
    <row r="20" spans="1:8">
      <c r="B20" s="198"/>
      <c r="C20" s="191"/>
      <c r="D20" s="191"/>
      <c r="E20" s="191"/>
      <c r="F20" s="191"/>
      <c r="G20" s="380"/>
      <c r="H20" s="191"/>
    </row>
    <row r="21" spans="1:8">
      <c r="B21" s="194" t="s">
        <v>167</v>
      </c>
      <c r="C21" s="193" t="s">
        <v>350</v>
      </c>
      <c r="D21" s="193"/>
      <c r="E21" s="194"/>
      <c r="F21" s="195"/>
      <c r="G21" s="380">
        <f t="shared" ref="G21:G31" si="1">E21*F21</f>
        <v>0</v>
      </c>
      <c r="H21" s="196"/>
    </row>
    <row r="22" spans="1:8">
      <c r="B22" s="194"/>
      <c r="C22" s="193"/>
      <c r="D22" s="193"/>
      <c r="E22" s="194"/>
      <c r="F22" s="195"/>
      <c r="G22" s="380">
        <f t="shared" si="1"/>
        <v>0</v>
      </c>
      <c r="H22" s="196"/>
    </row>
    <row r="23" spans="1:8">
      <c r="B23" s="194"/>
      <c r="C23" s="193"/>
      <c r="D23" s="193"/>
      <c r="E23" s="194"/>
      <c r="F23" s="195"/>
      <c r="G23" s="380">
        <f t="shared" si="1"/>
        <v>0</v>
      </c>
      <c r="H23" s="196"/>
    </row>
    <row r="24" spans="1:8">
      <c r="B24" s="194"/>
      <c r="C24" s="193"/>
      <c r="D24" s="193"/>
      <c r="E24" s="194"/>
      <c r="F24" s="195"/>
      <c r="G24" s="380">
        <f t="shared" si="1"/>
        <v>0</v>
      </c>
      <c r="H24" s="196"/>
    </row>
    <row r="25" spans="1:8">
      <c r="B25" s="194"/>
      <c r="C25" s="193"/>
      <c r="D25" s="193"/>
      <c r="E25" s="194"/>
      <c r="F25" s="195"/>
      <c r="G25" s="380">
        <f t="shared" si="1"/>
        <v>0</v>
      </c>
      <c r="H25" s="196"/>
    </row>
    <row r="26" spans="1:8">
      <c r="B26" s="194"/>
      <c r="C26" s="193"/>
      <c r="D26" s="193"/>
      <c r="E26" s="194"/>
      <c r="F26" s="195"/>
      <c r="G26" s="380">
        <f t="shared" si="1"/>
        <v>0</v>
      </c>
      <c r="H26" s="196"/>
    </row>
    <row r="27" spans="1:8">
      <c r="B27" s="194"/>
      <c r="C27" s="193"/>
      <c r="D27" s="193"/>
      <c r="E27" s="194"/>
      <c r="F27" s="195"/>
      <c r="G27" s="380">
        <f t="shared" si="1"/>
        <v>0</v>
      </c>
      <c r="H27" s="196"/>
    </row>
    <row r="28" spans="1:8">
      <c r="B28" s="194"/>
      <c r="C28" s="193"/>
      <c r="D28" s="193"/>
      <c r="E28" s="194"/>
      <c r="F28" s="195"/>
      <c r="G28" s="380">
        <f t="shared" si="1"/>
        <v>0</v>
      </c>
      <c r="H28" s="196"/>
    </row>
    <row r="29" spans="1:8">
      <c r="B29" s="194"/>
      <c r="C29" s="193"/>
      <c r="D29" s="194"/>
      <c r="E29" s="194"/>
      <c r="F29" s="195"/>
      <c r="G29" s="380">
        <f t="shared" si="1"/>
        <v>0</v>
      </c>
      <c r="H29" s="196"/>
    </row>
    <row r="30" spans="1:8">
      <c r="B30" s="194"/>
      <c r="C30" s="193"/>
      <c r="D30" s="194"/>
      <c r="E30" s="194"/>
      <c r="F30" s="195"/>
      <c r="G30" s="380">
        <f t="shared" si="1"/>
        <v>0</v>
      </c>
      <c r="H30" s="196"/>
    </row>
    <row r="31" spans="1:8">
      <c r="B31" s="194"/>
      <c r="C31" s="193"/>
      <c r="D31" s="194"/>
      <c r="E31" s="194"/>
      <c r="F31" s="195"/>
      <c r="G31" s="380">
        <f t="shared" si="1"/>
        <v>0</v>
      </c>
      <c r="H31" s="196"/>
    </row>
    <row r="32" spans="1:8">
      <c r="B32" s="708" t="s">
        <v>165</v>
      </c>
      <c r="C32" s="708"/>
      <c r="D32" s="194"/>
      <c r="E32" s="194"/>
      <c r="F32" s="197"/>
      <c r="G32" s="380">
        <f>SUM(G21:G31)</f>
        <v>0</v>
      </c>
      <c r="H32" s="192">
        <f>SUM(H21:H31)</f>
        <v>0</v>
      </c>
    </row>
    <row r="33" spans="2:8">
      <c r="B33" s="194" t="s">
        <v>168</v>
      </c>
      <c r="C33" s="193" t="s">
        <v>282</v>
      </c>
      <c r="D33" s="198"/>
      <c r="E33" s="198"/>
      <c r="F33" s="192"/>
      <c r="G33" s="380"/>
      <c r="H33" s="191"/>
    </row>
    <row r="34" spans="2:8">
      <c r="B34" s="198"/>
      <c r="C34" s="199"/>
      <c r="D34" s="199"/>
      <c r="E34" s="198"/>
      <c r="F34" s="192"/>
      <c r="G34" s="380">
        <f t="shared" ref="G34:G39" si="2">E34*F34</f>
        <v>0</v>
      </c>
      <c r="H34" s="191"/>
    </row>
    <row r="35" spans="2:8">
      <c r="B35" s="198"/>
      <c r="C35" s="199"/>
      <c r="D35" s="198"/>
      <c r="E35" s="198"/>
      <c r="F35" s="192"/>
      <c r="G35" s="380">
        <f t="shared" si="2"/>
        <v>0</v>
      </c>
      <c r="H35" s="191"/>
    </row>
    <row r="36" spans="2:8">
      <c r="B36" s="198"/>
      <c r="C36" s="199"/>
      <c r="D36" s="198"/>
      <c r="E36" s="198"/>
      <c r="F36" s="192"/>
      <c r="G36" s="380">
        <f t="shared" si="2"/>
        <v>0</v>
      </c>
      <c r="H36" s="191"/>
    </row>
    <row r="37" spans="2:8">
      <c r="B37" s="198"/>
      <c r="C37" s="199"/>
      <c r="D37" s="198"/>
      <c r="E37" s="198"/>
      <c r="F37" s="192"/>
      <c r="G37" s="380">
        <f t="shared" si="2"/>
        <v>0</v>
      </c>
      <c r="H37" s="191"/>
    </row>
    <row r="38" spans="2:8">
      <c r="B38" s="198"/>
      <c r="C38" s="199"/>
      <c r="D38" s="198"/>
      <c r="E38" s="198"/>
      <c r="F38" s="192"/>
      <c r="G38" s="380">
        <f t="shared" si="2"/>
        <v>0</v>
      </c>
      <c r="H38" s="191"/>
    </row>
    <row r="39" spans="2:8">
      <c r="B39" s="198"/>
      <c r="C39" s="199"/>
      <c r="D39" s="198"/>
      <c r="E39" s="198"/>
      <c r="F39" s="192"/>
      <c r="G39" s="380">
        <f t="shared" si="2"/>
        <v>0</v>
      </c>
      <c r="H39" s="191"/>
    </row>
    <row r="40" spans="2:8">
      <c r="B40" s="198"/>
      <c r="C40" s="199"/>
      <c r="D40" s="198"/>
      <c r="E40" s="198"/>
      <c r="F40" s="192"/>
      <c r="G40" s="380">
        <f t="shared" ref="G40:G46" si="3">F40</f>
        <v>0</v>
      </c>
      <c r="H40" s="191"/>
    </row>
    <row r="41" spans="2:8">
      <c r="B41" s="198"/>
      <c r="C41" s="199"/>
      <c r="D41" s="198"/>
      <c r="E41" s="198"/>
      <c r="F41" s="192"/>
      <c r="G41" s="380">
        <f t="shared" si="3"/>
        <v>0</v>
      </c>
      <c r="H41" s="191"/>
    </row>
    <row r="42" spans="2:8">
      <c r="B42" s="198"/>
      <c r="C42" s="199"/>
      <c r="D42" s="198"/>
      <c r="E42" s="198"/>
      <c r="F42" s="192"/>
      <c r="G42" s="380">
        <f t="shared" si="3"/>
        <v>0</v>
      </c>
      <c r="H42" s="191"/>
    </row>
    <row r="43" spans="2:8">
      <c r="B43" s="198"/>
      <c r="C43" s="199"/>
      <c r="D43" s="198"/>
      <c r="E43" s="198"/>
      <c r="F43" s="192"/>
      <c r="G43" s="380">
        <f t="shared" si="3"/>
        <v>0</v>
      </c>
      <c r="H43" s="191"/>
    </row>
    <row r="44" spans="2:8">
      <c r="B44" s="198"/>
      <c r="C44" s="199"/>
      <c r="D44" s="198"/>
      <c r="E44" s="198"/>
      <c r="F44" s="192"/>
      <c r="G44" s="380">
        <f t="shared" si="3"/>
        <v>0</v>
      </c>
      <c r="H44" s="191"/>
    </row>
    <row r="45" spans="2:8">
      <c r="B45" s="198"/>
      <c r="C45" s="199"/>
      <c r="D45" s="198"/>
      <c r="E45" s="198"/>
      <c r="F45" s="192"/>
      <c r="G45" s="380">
        <f t="shared" si="3"/>
        <v>0</v>
      </c>
      <c r="H45" s="191"/>
    </row>
    <row r="46" spans="2:8">
      <c r="B46" s="198"/>
      <c r="C46" s="199"/>
      <c r="D46" s="198"/>
      <c r="E46" s="198"/>
      <c r="F46" s="192"/>
      <c r="G46" s="380">
        <f t="shared" si="3"/>
        <v>0</v>
      </c>
      <c r="H46" s="191"/>
    </row>
    <row r="47" spans="2:8">
      <c r="B47" s="708" t="s">
        <v>165</v>
      </c>
      <c r="C47" s="708"/>
      <c r="D47" s="194"/>
      <c r="E47" s="194"/>
      <c r="F47" s="197"/>
      <c r="G47" s="385">
        <f>SUM(G34:G46)</f>
        <v>0</v>
      </c>
      <c r="H47" s="197">
        <f>SUM(H34:H46)</f>
        <v>0</v>
      </c>
    </row>
    <row r="48" spans="2:8">
      <c r="B48" s="198"/>
      <c r="C48" s="199"/>
      <c r="D48" s="198"/>
      <c r="E48" s="198"/>
      <c r="F48" s="192"/>
      <c r="G48" s="380"/>
      <c r="H48" s="191"/>
    </row>
    <row r="49" spans="2:15">
      <c r="B49" s="194" t="s">
        <v>169</v>
      </c>
      <c r="C49" s="193" t="s">
        <v>922</v>
      </c>
      <c r="D49" s="198"/>
      <c r="E49" s="198"/>
      <c r="F49" s="192"/>
      <c r="G49" s="380">
        <f t="shared" ref="G49" si="4">E49*F49</f>
        <v>0</v>
      </c>
      <c r="H49" s="191"/>
    </row>
    <row r="50" spans="2:15">
      <c r="B50" s="194"/>
      <c r="C50" s="379" t="s">
        <v>914</v>
      </c>
      <c r="D50" s="199" t="s">
        <v>950</v>
      </c>
      <c r="E50" s="198">
        <v>1</v>
      </c>
      <c r="F50" s="192">
        <v>1863810</v>
      </c>
      <c r="G50" s="380">
        <f t="shared" ref="G50:G58" si="5">E50*F50/100000</f>
        <v>18.638100000000001</v>
      </c>
      <c r="H50" s="191"/>
      <c r="J50">
        <v>14.99</v>
      </c>
      <c r="K50" s="18">
        <f>+G50-J50</f>
        <v>3.6481000000000012</v>
      </c>
      <c r="L50" s="27"/>
      <c r="M50" s="27"/>
    </row>
    <row r="51" spans="2:15">
      <c r="B51" s="647"/>
      <c r="C51" s="379" t="s">
        <v>934</v>
      </c>
      <c r="D51" s="199" t="s">
        <v>923</v>
      </c>
      <c r="E51" s="198">
        <v>1</v>
      </c>
      <c r="F51" s="192">
        <v>975628</v>
      </c>
      <c r="G51" s="380">
        <f t="shared" si="5"/>
        <v>9.7562800000000003</v>
      </c>
      <c r="H51" s="191"/>
      <c r="K51">
        <f>+K50/118*18</f>
        <v>0.55648983050847478</v>
      </c>
      <c r="M51">
        <v>189000</v>
      </c>
    </row>
    <row r="52" spans="2:15">
      <c r="B52" s="647"/>
      <c r="C52" s="379" t="s">
        <v>951</v>
      </c>
      <c r="D52" s="199" t="s">
        <v>967</v>
      </c>
      <c r="E52" s="198">
        <v>1</v>
      </c>
      <c r="F52" s="192">
        <v>1239000</v>
      </c>
      <c r="G52" s="380">
        <f t="shared" si="5"/>
        <v>12.39</v>
      </c>
      <c r="H52" s="191"/>
      <c r="J52" s="779">
        <f>+G52+K50</f>
        <v>16.0381</v>
      </c>
      <c r="K52" s="18">
        <f>+K50-K51</f>
        <v>3.0916101694915263</v>
      </c>
      <c r="M52">
        <f>+M51/0.18</f>
        <v>1050000</v>
      </c>
      <c r="O52">
        <v>1604000</v>
      </c>
    </row>
    <row r="53" spans="2:15">
      <c r="B53" s="194"/>
      <c r="C53" s="379" t="s">
        <v>915</v>
      </c>
      <c r="D53" s="199" t="s">
        <v>916</v>
      </c>
      <c r="E53" s="198">
        <v>1</v>
      </c>
      <c r="F53" s="192">
        <v>300000</v>
      </c>
      <c r="G53" s="380">
        <f t="shared" si="5"/>
        <v>3</v>
      </c>
      <c r="H53" s="191"/>
      <c r="J53">
        <f>+J52/118*18</f>
        <v>2.4464898305084746</v>
      </c>
    </row>
    <row r="54" spans="2:15">
      <c r="B54" s="194"/>
      <c r="C54" s="193" t="s">
        <v>917</v>
      </c>
      <c r="D54" s="199"/>
      <c r="E54" s="198">
        <v>1</v>
      </c>
      <c r="F54" s="192">
        <v>75000</v>
      </c>
      <c r="G54" s="380">
        <f t="shared" si="5"/>
        <v>0.75</v>
      </c>
      <c r="H54" s="191"/>
    </row>
    <row r="55" spans="2:15">
      <c r="B55" s="194"/>
      <c r="C55" s="193" t="s">
        <v>918</v>
      </c>
      <c r="D55" s="199"/>
      <c r="E55" s="198">
        <v>1</v>
      </c>
      <c r="F55" s="192">
        <v>500000</v>
      </c>
      <c r="G55" s="380">
        <f t="shared" si="5"/>
        <v>5</v>
      </c>
      <c r="H55" s="191"/>
    </row>
    <row r="56" spans="2:15">
      <c r="B56" s="194"/>
      <c r="C56" s="193" t="s">
        <v>919</v>
      </c>
      <c r="D56" s="199"/>
      <c r="E56" s="198">
        <v>1</v>
      </c>
      <c r="F56" s="192">
        <v>150000</v>
      </c>
      <c r="G56" s="380">
        <f t="shared" si="5"/>
        <v>1.5</v>
      </c>
      <c r="H56" s="191"/>
    </row>
    <row r="57" spans="2:15">
      <c r="B57" s="642"/>
      <c r="C57" s="193" t="s">
        <v>920</v>
      </c>
      <c r="D57" s="199" t="s">
        <v>921</v>
      </c>
      <c r="E57" s="198">
        <v>1</v>
      </c>
      <c r="F57" s="192">
        <v>320000</v>
      </c>
      <c r="G57" s="380">
        <f t="shared" si="5"/>
        <v>3.2</v>
      </c>
      <c r="H57" s="191"/>
    </row>
    <row r="58" spans="2:15">
      <c r="B58" s="654"/>
      <c r="C58" s="193" t="s">
        <v>973</v>
      </c>
      <c r="D58" s="199"/>
      <c r="E58" s="198">
        <v>1</v>
      </c>
      <c r="F58" s="192">
        <v>2250000</v>
      </c>
      <c r="G58" s="380">
        <f t="shared" si="5"/>
        <v>22.5</v>
      </c>
      <c r="H58" s="191"/>
    </row>
    <row r="59" spans="2:15">
      <c r="B59" s="708" t="s">
        <v>165</v>
      </c>
      <c r="C59" s="708"/>
      <c r="D59" s="199"/>
      <c r="E59" s="198"/>
      <c r="F59" s="192"/>
      <c r="G59" s="380">
        <f>SUM(G49:G58)</f>
        <v>76.734380000000002</v>
      </c>
      <c r="H59" s="192">
        <f>SUM(H49:H56)</f>
        <v>0</v>
      </c>
    </row>
    <row r="60" spans="2:15">
      <c r="B60" s="194"/>
      <c r="C60" s="194" t="s">
        <v>972</v>
      </c>
      <c r="D60" s="199"/>
      <c r="E60" s="198"/>
      <c r="F60" s="192"/>
      <c r="G60" s="380"/>
      <c r="H60" s="192"/>
    </row>
    <row r="61" spans="2:15">
      <c r="B61" s="194" t="s">
        <v>170</v>
      </c>
      <c r="C61" s="194" t="s">
        <v>479</v>
      </c>
      <c r="D61" s="199"/>
      <c r="E61" s="198"/>
      <c r="F61" s="192"/>
      <c r="G61" s="380">
        <f>E61*F61</f>
        <v>0</v>
      </c>
      <c r="H61" s="192"/>
    </row>
    <row r="62" spans="2:15">
      <c r="B62" s="194"/>
      <c r="C62" s="193"/>
      <c r="D62" s="199"/>
      <c r="E62" s="198"/>
      <c r="F62" s="192"/>
      <c r="G62" s="380">
        <f>E62*F62/100000</f>
        <v>0</v>
      </c>
      <c r="H62" s="191"/>
      <c r="K62">
        <v>614000</v>
      </c>
      <c r="M62">
        <v>3500</v>
      </c>
    </row>
    <row r="63" spans="2:15">
      <c r="B63" s="320"/>
      <c r="C63" s="193"/>
      <c r="D63" s="199"/>
      <c r="E63" s="198"/>
      <c r="F63" s="192"/>
      <c r="G63" s="380">
        <v>0</v>
      </c>
      <c r="H63" s="191"/>
      <c r="M63">
        <v>24</v>
      </c>
    </row>
    <row r="64" spans="2:15">
      <c r="B64" s="320"/>
      <c r="C64" s="193"/>
      <c r="D64" s="199"/>
      <c r="E64" s="198"/>
      <c r="F64" s="192"/>
      <c r="G64" s="380">
        <v>0</v>
      </c>
      <c r="H64" s="191"/>
      <c r="M64">
        <f>+M62/M63</f>
        <v>145.83333333333334</v>
      </c>
    </row>
    <row r="65" spans="1:15">
      <c r="B65" s="320"/>
      <c r="C65" s="193"/>
      <c r="D65" s="199"/>
      <c r="E65" s="198"/>
      <c r="F65" s="192"/>
      <c r="G65" s="380"/>
      <c r="H65" s="191"/>
    </row>
    <row r="66" spans="1:15">
      <c r="B66" s="708" t="s">
        <v>165</v>
      </c>
      <c r="C66" s="708"/>
      <c r="D66" s="199"/>
      <c r="E66" s="198"/>
      <c r="F66" s="192"/>
      <c r="G66" s="380">
        <f>SUM(G62:G64)</f>
        <v>0</v>
      </c>
      <c r="H66" s="192">
        <f>SUM(H61:H62)</f>
        <v>0</v>
      </c>
    </row>
    <row r="67" spans="1:15">
      <c r="B67" s="198"/>
      <c r="C67" s="199"/>
      <c r="D67" s="199"/>
      <c r="E67" s="198"/>
      <c r="F67" s="192"/>
      <c r="G67" s="380"/>
      <c r="H67" s="191"/>
      <c r="O67">
        <v>180</v>
      </c>
    </row>
    <row r="68" spans="1:15">
      <c r="B68" s="707" t="s">
        <v>1</v>
      </c>
      <c r="C68" s="707"/>
      <c r="D68" s="707"/>
      <c r="E68" s="707"/>
      <c r="F68" s="707"/>
      <c r="G68" s="386">
        <f>G59+G47+G32+G66</f>
        <v>76.734380000000002</v>
      </c>
      <c r="H68" s="188">
        <f>H47+H21+H59+H66</f>
        <v>0</v>
      </c>
      <c r="J68">
        <v>76.734380000000002</v>
      </c>
      <c r="O68">
        <f>+O67*24</f>
        <v>4320</v>
      </c>
    </row>
    <row r="69" spans="1:15">
      <c r="B69" s="19"/>
    </row>
    <row r="70" spans="1:15">
      <c r="B70" s="704" t="s">
        <v>392</v>
      </c>
      <c r="C70" s="704"/>
      <c r="D70" s="704"/>
      <c r="E70" s="704"/>
      <c r="F70" s="704"/>
      <c r="G70" s="704"/>
      <c r="H70" s="704"/>
    </row>
    <row r="71" spans="1:15">
      <c r="B71" s="19"/>
      <c r="I71" s="19"/>
      <c r="J71" s="19"/>
      <c r="K71" s="20"/>
    </row>
    <row r="74" spans="1:15" ht="18.75">
      <c r="A74">
        <v>2.2999999999999998</v>
      </c>
      <c r="B74" s="703" t="s">
        <v>362</v>
      </c>
      <c r="C74" s="703"/>
      <c r="D74" s="703"/>
      <c r="E74" s="703"/>
      <c r="F74" s="703"/>
    </row>
    <row r="76" spans="1:15" ht="30">
      <c r="B76" s="22" t="s">
        <v>140</v>
      </c>
      <c r="C76" s="48" t="s">
        <v>125</v>
      </c>
      <c r="D76" s="48" t="s">
        <v>147</v>
      </c>
      <c r="E76" s="48" t="s">
        <v>148</v>
      </c>
      <c r="F76" s="48" t="s">
        <v>154</v>
      </c>
    </row>
    <row r="77" spans="1:15">
      <c r="B77" s="200">
        <v>1</v>
      </c>
      <c r="C77" s="223"/>
      <c r="D77" s="200"/>
      <c r="E77" s="201"/>
      <c r="F77" s="202">
        <f t="shared" ref="F77:F82" si="6">D77*E77</f>
        <v>0</v>
      </c>
    </row>
    <row r="78" spans="1:15">
      <c r="B78" s="200"/>
      <c r="C78" s="223"/>
      <c r="D78" s="200"/>
      <c r="E78" s="201"/>
      <c r="F78" s="202">
        <f t="shared" si="6"/>
        <v>0</v>
      </c>
    </row>
    <row r="79" spans="1:15">
      <c r="B79" s="200"/>
      <c r="C79" s="223"/>
      <c r="D79" s="200"/>
      <c r="E79" s="201"/>
      <c r="F79" s="202">
        <f t="shared" si="6"/>
        <v>0</v>
      </c>
    </row>
    <row r="80" spans="1:15">
      <c r="B80" s="200"/>
      <c r="C80" s="223"/>
      <c r="D80" s="200"/>
      <c r="E80" s="201"/>
      <c r="F80" s="202">
        <f t="shared" si="6"/>
        <v>0</v>
      </c>
    </row>
    <row r="81" spans="1:7">
      <c r="B81" s="200"/>
      <c r="C81" s="223"/>
      <c r="D81" s="200"/>
      <c r="E81" s="201"/>
      <c r="F81" s="202">
        <f t="shared" si="6"/>
        <v>0</v>
      </c>
    </row>
    <row r="82" spans="1:7">
      <c r="B82" s="200"/>
      <c r="C82" s="223"/>
      <c r="D82" s="200"/>
      <c r="E82" s="201"/>
      <c r="F82" s="202">
        <f t="shared" si="6"/>
        <v>0</v>
      </c>
    </row>
    <row r="83" spans="1:7">
      <c r="B83" s="713" t="s">
        <v>1</v>
      </c>
      <c r="C83" s="713"/>
      <c r="D83" s="713"/>
      <c r="E83" s="713"/>
      <c r="F83" s="21">
        <f>SUM(F77:F82)</f>
        <v>0</v>
      </c>
    </row>
    <row r="85" spans="1:7">
      <c r="A85" s="704" t="s">
        <v>393</v>
      </c>
      <c r="B85" s="704"/>
      <c r="C85" s="704"/>
      <c r="D85" s="704"/>
      <c r="E85" s="704"/>
      <c r="F85" s="704"/>
      <c r="G85" s="704"/>
    </row>
    <row r="88" spans="1:7" ht="18.75">
      <c r="A88">
        <v>2.4</v>
      </c>
      <c r="B88" s="703" t="s">
        <v>361</v>
      </c>
      <c r="C88" s="703"/>
      <c r="D88" s="703"/>
      <c r="E88" s="703"/>
      <c r="F88" s="703"/>
    </row>
    <row r="90" spans="1:7" ht="30">
      <c r="B90" s="22" t="s">
        <v>140</v>
      </c>
      <c r="C90" s="51" t="s">
        <v>125</v>
      </c>
      <c r="D90" s="51" t="s">
        <v>147</v>
      </c>
      <c r="E90" s="51" t="s">
        <v>148</v>
      </c>
      <c r="F90" s="51" t="s">
        <v>154</v>
      </c>
    </row>
    <row r="91" spans="1:7">
      <c r="B91" s="200">
        <v>1</v>
      </c>
      <c r="C91" s="223"/>
      <c r="D91" s="200"/>
      <c r="E91" s="201"/>
      <c r="F91" s="202">
        <f t="shared" ref="F91:F96" si="7">D91*E91</f>
        <v>0</v>
      </c>
    </row>
    <row r="92" spans="1:7">
      <c r="B92" s="200"/>
      <c r="C92" s="223"/>
      <c r="D92" s="200"/>
      <c r="E92" s="201"/>
      <c r="F92" s="202">
        <f t="shared" si="7"/>
        <v>0</v>
      </c>
    </row>
    <row r="93" spans="1:7">
      <c r="B93" s="200"/>
      <c r="C93" s="223"/>
      <c r="D93" s="200"/>
      <c r="E93" s="201"/>
      <c r="F93" s="202">
        <f t="shared" si="7"/>
        <v>0</v>
      </c>
    </row>
    <row r="94" spans="1:7">
      <c r="B94" s="200"/>
      <c r="C94" s="223"/>
      <c r="D94" s="200"/>
      <c r="E94" s="201"/>
      <c r="F94" s="202">
        <f t="shared" si="7"/>
        <v>0</v>
      </c>
    </row>
    <row r="95" spans="1:7">
      <c r="B95" s="200"/>
      <c r="C95" s="223"/>
      <c r="D95" s="200"/>
      <c r="E95" s="201"/>
      <c r="F95" s="202">
        <f t="shared" si="7"/>
        <v>0</v>
      </c>
    </row>
    <row r="96" spans="1:7">
      <c r="B96" s="200"/>
      <c r="C96" s="223"/>
      <c r="D96" s="200"/>
      <c r="E96" s="201"/>
      <c r="F96" s="202">
        <f t="shared" si="7"/>
        <v>0</v>
      </c>
    </row>
    <row r="97" spans="1:7">
      <c r="B97" s="713" t="s">
        <v>1</v>
      </c>
      <c r="C97" s="713"/>
      <c r="D97" s="713"/>
      <c r="E97" s="713"/>
      <c r="F97" s="21">
        <f>SUM(F91:F96)</f>
        <v>0</v>
      </c>
    </row>
    <row r="99" spans="1:7">
      <c r="A99" s="704" t="s">
        <v>393</v>
      </c>
      <c r="B99" s="704"/>
      <c r="C99" s="704"/>
      <c r="D99" s="704"/>
      <c r="E99" s="704"/>
      <c r="F99" s="704"/>
      <c r="G99" s="704"/>
    </row>
    <row r="102" spans="1:7" ht="18.75">
      <c r="A102">
        <v>2.5</v>
      </c>
      <c r="B102" s="703" t="s">
        <v>576</v>
      </c>
      <c r="C102" s="703"/>
      <c r="D102" s="703"/>
      <c r="E102" s="703"/>
      <c r="F102" s="703"/>
    </row>
    <row r="104" spans="1:7" ht="28.5">
      <c r="B104" s="175" t="s">
        <v>140</v>
      </c>
      <c r="C104" s="176" t="s">
        <v>125</v>
      </c>
      <c r="D104" s="176" t="s">
        <v>147</v>
      </c>
      <c r="E104" s="176" t="s">
        <v>148</v>
      </c>
      <c r="F104" s="176" t="s">
        <v>154</v>
      </c>
    </row>
    <row r="105" spans="1:7">
      <c r="B105" s="198">
        <v>1</v>
      </c>
      <c r="C105" s="199"/>
      <c r="D105" s="198"/>
      <c r="E105" s="203"/>
      <c r="F105" s="192">
        <f>E105*D105</f>
        <v>0</v>
      </c>
    </row>
    <row r="106" spans="1:7">
      <c r="B106" s="198"/>
      <c r="C106" s="199"/>
      <c r="D106" s="198"/>
      <c r="E106" s="203"/>
      <c r="F106" s="192">
        <f>E106*D106</f>
        <v>0</v>
      </c>
    </row>
    <row r="107" spans="1:7">
      <c r="B107" s="198"/>
      <c r="C107" s="199"/>
      <c r="D107" s="198"/>
      <c r="E107" s="203"/>
      <c r="F107" s="192">
        <f>E107*D107</f>
        <v>0</v>
      </c>
    </row>
    <row r="108" spans="1:7">
      <c r="B108" s="707" t="s">
        <v>1</v>
      </c>
      <c r="C108" s="707"/>
      <c r="D108" s="707"/>
      <c r="E108" s="707"/>
      <c r="F108" s="178">
        <f>SUM(F105:F107)</f>
        <v>0</v>
      </c>
    </row>
    <row r="109" spans="1:7">
      <c r="A109" s="712" t="s">
        <v>429</v>
      </c>
      <c r="B109" s="712"/>
      <c r="C109" s="712"/>
      <c r="D109" s="712"/>
      <c r="E109" s="712"/>
      <c r="F109" s="712"/>
      <c r="G109" s="712"/>
    </row>
    <row r="112" spans="1:7" ht="18.75">
      <c r="A112">
        <v>2.6</v>
      </c>
      <c r="B112" s="703" t="s">
        <v>246</v>
      </c>
      <c r="C112" s="703"/>
      <c r="D112" s="703"/>
    </row>
    <row r="113" spans="1:5" ht="15.75" thickBot="1"/>
    <row r="114" spans="1:5" ht="29.25" thickBot="1">
      <c r="B114" s="186" t="s">
        <v>140</v>
      </c>
      <c r="C114" s="187" t="s">
        <v>125</v>
      </c>
      <c r="D114" s="187" t="s">
        <v>360</v>
      </c>
    </row>
    <row r="115" spans="1:5" ht="15.75" thickBot="1">
      <c r="B115" s="224">
        <v>1</v>
      </c>
      <c r="C115" s="225" t="s">
        <v>720</v>
      </c>
      <c r="D115" s="387">
        <f>+(G68+G12)*5%</f>
        <v>9.3022189999999991</v>
      </c>
    </row>
    <row r="116" spans="1:5" ht="15.75" thickBot="1">
      <c r="B116" s="224">
        <v>2</v>
      </c>
      <c r="C116" s="225"/>
      <c r="D116" s="204"/>
    </row>
    <row r="117" spans="1:5" ht="15.75" thickBot="1">
      <c r="B117" s="224">
        <v>3</v>
      </c>
      <c r="C117" s="225"/>
      <c r="D117" s="204"/>
    </row>
    <row r="118" spans="1:5" ht="15.75" thickBot="1">
      <c r="B118" s="224"/>
      <c r="C118" s="225"/>
      <c r="D118" s="204"/>
    </row>
    <row r="119" spans="1:5" ht="15.75" thickBot="1">
      <c r="B119" s="224"/>
      <c r="C119" s="225"/>
      <c r="D119" s="204"/>
    </row>
    <row r="120" spans="1:5" ht="15.75" thickBot="1">
      <c r="B120" s="709" t="s">
        <v>1</v>
      </c>
      <c r="C120" s="710"/>
      <c r="D120" s="388">
        <f>SUM(D115:D119)</f>
        <v>9.3022189999999991</v>
      </c>
    </row>
    <row r="122" spans="1:5" ht="26.1" customHeight="1" thickBot="1">
      <c r="A122" s="711" t="s">
        <v>430</v>
      </c>
      <c r="B122" s="711"/>
      <c r="C122" s="711"/>
      <c r="D122" s="711"/>
      <c r="E122" s="711"/>
    </row>
    <row r="123" spans="1:5" ht="26.1" customHeight="1" thickBot="1">
      <c r="A123" s="319">
        <v>2.7</v>
      </c>
      <c r="B123" s="186" t="s">
        <v>140</v>
      </c>
      <c r="C123" s="187" t="s">
        <v>125</v>
      </c>
      <c r="D123" s="187" t="s">
        <v>360</v>
      </c>
      <c r="E123" s="319"/>
    </row>
    <row r="124" spans="1:5" ht="26.1" customHeight="1" thickBot="1">
      <c r="A124" s="319"/>
      <c r="B124" s="224">
        <v>1</v>
      </c>
      <c r="C124" s="225" t="s">
        <v>152</v>
      </c>
      <c r="D124" s="387">
        <f>+'1.Project Cost and MOF'!D11</f>
        <v>2.8461479616593564</v>
      </c>
      <c r="E124" s="319"/>
    </row>
    <row r="125" spans="1:5" ht="26.1" customHeight="1" thickBot="1">
      <c r="A125" s="319"/>
      <c r="B125" s="709" t="s">
        <v>1</v>
      </c>
      <c r="C125" s="710"/>
      <c r="D125" s="388">
        <f>+D124</f>
        <v>2.8461479616593564</v>
      </c>
      <c r="E125" s="319"/>
    </row>
    <row r="126" spans="1:5" ht="26.1" customHeight="1">
      <c r="A126" s="319"/>
      <c r="B126" s="319"/>
      <c r="C126" s="319"/>
      <c r="D126" s="319"/>
      <c r="E126" s="319"/>
    </row>
  </sheetData>
  <mergeCells count="23">
    <mergeCell ref="B125:C125"/>
    <mergeCell ref="B120:C120"/>
    <mergeCell ref="A122:E122"/>
    <mergeCell ref="B66:C66"/>
    <mergeCell ref="A99:G99"/>
    <mergeCell ref="B108:E108"/>
    <mergeCell ref="B102:F102"/>
    <mergeCell ref="A109:G109"/>
    <mergeCell ref="B112:D112"/>
    <mergeCell ref="B83:E83"/>
    <mergeCell ref="B74:F74"/>
    <mergeCell ref="A85:G85"/>
    <mergeCell ref="B97:E97"/>
    <mergeCell ref="B88:F88"/>
    <mergeCell ref="B12:F12"/>
    <mergeCell ref="B2:G2"/>
    <mergeCell ref="B15:G15"/>
    <mergeCell ref="B70:H70"/>
    <mergeCell ref="B68:F68"/>
    <mergeCell ref="B17:H17"/>
    <mergeCell ref="B32:C32"/>
    <mergeCell ref="B47:C47"/>
    <mergeCell ref="B59:C59"/>
  </mergeCells>
  <pageMargins left="0.7" right="0.7" top="0.75" bottom="0.75" header="0.3" footer="0.3"/>
  <pageSetup scale="6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R96"/>
  <sheetViews>
    <sheetView view="pageBreakPreview" topLeftCell="A81" zoomScale="70" zoomScaleSheetLayoutView="70" workbookViewId="0">
      <selection activeCell="B87" sqref="B87:H91"/>
    </sheetView>
  </sheetViews>
  <sheetFormatPr defaultRowHeight="15"/>
  <cols>
    <col min="1" max="1" width="30.140625" customWidth="1"/>
    <col min="2" max="2" width="11.140625" customWidth="1"/>
    <col min="3" max="9" width="11.140625" style="18" customWidth="1"/>
    <col min="10" max="10" width="14.7109375" bestFit="1" customWidth="1"/>
    <col min="11" max="11" width="14.85546875" style="18" customWidth="1"/>
    <col min="12" max="17" width="10.5703125" style="18" bestFit="1" customWidth="1"/>
    <col min="18" max="18" width="9.140625" style="18"/>
  </cols>
  <sheetData>
    <row r="2" spans="1:18" ht="18.75">
      <c r="A2" s="701" t="s">
        <v>497</v>
      </c>
      <c r="B2" s="701"/>
      <c r="C2" s="701"/>
      <c r="D2" s="701"/>
      <c r="E2" s="701"/>
      <c r="F2" s="701"/>
      <c r="G2" s="701"/>
      <c r="H2" s="701"/>
      <c r="I2" s="701"/>
      <c r="J2" s="565"/>
      <c r="K2" s="565"/>
    </row>
    <row r="3" spans="1:18">
      <c r="C3" s="460">
        <v>1</v>
      </c>
      <c r="D3" s="460">
        <v>1.05</v>
      </c>
      <c r="E3" s="460">
        <f>+D3*1.05</f>
        <v>1.1025</v>
      </c>
      <c r="F3" s="460">
        <f t="shared" ref="F3:I3" si="0">+E3*1.05</f>
        <v>1.1576250000000001</v>
      </c>
      <c r="G3" s="460">
        <f t="shared" si="0"/>
        <v>1.2155062500000002</v>
      </c>
      <c r="H3" s="460">
        <f t="shared" si="0"/>
        <v>1.2762815625000004</v>
      </c>
      <c r="I3" s="460">
        <f t="shared" si="0"/>
        <v>1.3400956406250004</v>
      </c>
    </row>
    <row r="4" spans="1:18" s="252" customFormat="1">
      <c r="A4" s="136" t="s">
        <v>0</v>
      </c>
      <c r="B4" s="123" t="s">
        <v>719</v>
      </c>
      <c r="C4" s="463" t="s">
        <v>2</v>
      </c>
      <c r="D4" s="463" t="s">
        <v>3</v>
      </c>
      <c r="E4" s="463" t="s">
        <v>4</v>
      </c>
      <c r="F4" s="463" t="s">
        <v>5</v>
      </c>
      <c r="G4" s="463" t="s">
        <v>6</v>
      </c>
      <c r="H4" s="463" t="s">
        <v>163</v>
      </c>
      <c r="I4" s="463" t="s">
        <v>162</v>
      </c>
      <c r="J4" s="519"/>
      <c r="K4" s="520"/>
      <c r="L4" s="520"/>
      <c r="M4" s="520"/>
      <c r="N4" s="520"/>
      <c r="O4" s="520"/>
      <c r="P4" s="520"/>
      <c r="Q4" s="520"/>
      <c r="R4" s="521"/>
    </row>
    <row r="5" spans="1:18">
      <c r="A5" s="285" t="s">
        <v>687</v>
      </c>
      <c r="B5" s="368"/>
      <c r="C5" s="461"/>
      <c r="D5" s="461"/>
      <c r="E5" s="461"/>
      <c r="F5" s="461"/>
      <c r="G5" s="461"/>
      <c r="H5" s="461"/>
      <c r="I5" s="461"/>
      <c r="J5" s="376"/>
      <c r="K5" s="484"/>
      <c r="L5" s="484"/>
    </row>
    <row r="6" spans="1:18">
      <c r="A6" s="134" t="s">
        <v>688</v>
      </c>
      <c r="B6" s="134" t="s">
        <v>689</v>
      </c>
      <c r="C6" s="466">
        <f>2000*12/100000</f>
        <v>0.24</v>
      </c>
      <c r="D6" s="466">
        <f t="shared" ref="D6:I6" si="1">+$C$6*D3</f>
        <v>0.252</v>
      </c>
      <c r="E6" s="466">
        <f t="shared" si="1"/>
        <v>0.2646</v>
      </c>
      <c r="F6" s="466">
        <f t="shared" si="1"/>
        <v>0.27783000000000002</v>
      </c>
      <c r="G6" s="466">
        <f t="shared" si="1"/>
        <v>0.29172150000000002</v>
      </c>
      <c r="H6" s="466">
        <f t="shared" si="1"/>
        <v>0.30630757500000005</v>
      </c>
      <c r="I6" s="466">
        <f t="shared" si="1"/>
        <v>0.32162295375000011</v>
      </c>
      <c r="J6" s="377"/>
      <c r="K6" s="485"/>
      <c r="L6" s="485"/>
    </row>
    <row r="7" spans="1:18">
      <c r="A7" s="134" t="s">
        <v>690</v>
      </c>
      <c r="B7" s="134" t="s">
        <v>691</v>
      </c>
      <c r="C7" s="466">
        <f>1000*12/100000</f>
        <v>0.12</v>
      </c>
      <c r="D7" s="466">
        <f t="shared" ref="D7:I7" si="2">+$C$7*D3</f>
        <v>0.126</v>
      </c>
      <c r="E7" s="466">
        <f t="shared" si="2"/>
        <v>0.1323</v>
      </c>
      <c r="F7" s="466">
        <f t="shared" si="2"/>
        <v>0.13891500000000001</v>
      </c>
      <c r="G7" s="466">
        <f t="shared" si="2"/>
        <v>0.14586075000000001</v>
      </c>
      <c r="H7" s="466">
        <f t="shared" si="2"/>
        <v>0.15315378750000003</v>
      </c>
      <c r="I7" s="466">
        <f t="shared" si="2"/>
        <v>0.16081147687500005</v>
      </c>
      <c r="J7" s="377"/>
      <c r="K7" s="485"/>
      <c r="L7" s="485"/>
    </row>
    <row r="8" spans="1:18">
      <c r="A8" s="134" t="s">
        <v>692</v>
      </c>
      <c r="B8" s="134" t="s">
        <v>693</v>
      </c>
      <c r="C8" s="466">
        <v>0.03</v>
      </c>
      <c r="D8" s="466">
        <f>C8</f>
        <v>0.03</v>
      </c>
      <c r="E8" s="466">
        <f t="shared" ref="E8:I8" si="3">D8</f>
        <v>0.03</v>
      </c>
      <c r="F8" s="466">
        <f t="shared" si="3"/>
        <v>0.03</v>
      </c>
      <c r="G8" s="466">
        <f t="shared" si="3"/>
        <v>0.03</v>
      </c>
      <c r="H8" s="466">
        <f t="shared" si="3"/>
        <v>0.03</v>
      </c>
      <c r="I8" s="466">
        <f t="shared" si="3"/>
        <v>0.03</v>
      </c>
      <c r="J8" s="377"/>
      <c r="K8" s="485"/>
      <c r="L8" s="485"/>
    </row>
    <row r="9" spans="1:18">
      <c r="A9" s="134" t="s">
        <v>694</v>
      </c>
      <c r="B9" s="134" t="s">
        <v>695</v>
      </c>
      <c r="C9" s="466">
        <v>0.15</v>
      </c>
      <c r="D9" s="466">
        <f t="shared" ref="D9:I9" si="4">+$C$9*D3</f>
        <v>0.1575</v>
      </c>
      <c r="E9" s="466">
        <f t="shared" si="4"/>
        <v>0.16537499999999999</v>
      </c>
      <c r="F9" s="466">
        <f t="shared" si="4"/>
        <v>0.17364375000000001</v>
      </c>
      <c r="G9" s="466">
        <f t="shared" si="4"/>
        <v>0.18232593750000003</v>
      </c>
      <c r="H9" s="466">
        <f t="shared" si="4"/>
        <v>0.19144223437500005</v>
      </c>
      <c r="I9" s="466">
        <f t="shared" si="4"/>
        <v>0.20101434609375005</v>
      </c>
      <c r="J9" s="377"/>
      <c r="K9" s="485"/>
      <c r="L9" s="485"/>
    </row>
    <row r="10" spans="1:18">
      <c r="A10" s="134" t="s">
        <v>696</v>
      </c>
      <c r="B10" s="134" t="s">
        <v>697</v>
      </c>
      <c r="C10" s="466">
        <f>+'Input Sheet'!$E$167/100000</f>
        <v>0.12</v>
      </c>
      <c r="D10" s="466">
        <f t="shared" ref="D10:I10" si="5">+$C$10*D3</f>
        <v>0.126</v>
      </c>
      <c r="E10" s="466">
        <f t="shared" si="5"/>
        <v>0.1323</v>
      </c>
      <c r="F10" s="466">
        <f t="shared" si="5"/>
        <v>0.13891500000000001</v>
      </c>
      <c r="G10" s="466">
        <f t="shared" si="5"/>
        <v>0.14586075000000001</v>
      </c>
      <c r="H10" s="466">
        <f t="shared" si="5"/>
        <v>0.15315378750000003</v>
      </c>
      <c r="I10" s="466">
        <f t="shared" si="5"/>
        <v>0.16081147687500005</v>
      </c>
      <c r="J10" s="377"/>
      <c r="K10" s="485"/>
      <c r="L10" s="485"/>
    </row>
    <row r="11" spans="1:18">
      <c r="A11" s="134" t="s">
        <v>698</v>
      </c>
      <c r="B11" s="134" t="s">
        <v>699</v>
      </c>
      <c r="C11" s="466">
        <f>3000*12/100000</f>
        <v>0.36</v>
      </c>
      <c r="D11" s="466">
        <f>+$C11*D$3</f>
        <v>0.378</v>
      </c>
      <c r="E11" s="466">
        <f t="shared" ref="E11:I12" si="6">+$C11*E$3</f>
        <v>0.39689999999999998</v>
      </c>
      <c r="F11" s="466">
        <f t="shared" si="6"/>
        <v>0.41674500000000003</v>
      </c>
      <c r="G11" s="466">
        <f t="shared" si="6"/>
        <v>0.43758225000000006</v>
      </c>
      <c r="H11" s="466">
        <f t="shared" si="6"/>
        <v>0.45946136250000014</v>
      </c>
      <c r="I11" s="466">
        <f t="shared" si="6"/>
        <v>0.48243443062500013</v>
      </c>
      <c r="J11" s="377"/>
      <c r="K11" s="485"/>
      <c r="L11" s="485"/>
    </row>
    <row r="12" spans="1:18">
      <c r="A12" s="134" t="s">
        <v>700</v>
      </c>
      <c r="B12" s="134" t="s">
        <v>699</v>
      </c>
      <c r="C12" s="466">
        <f>3000*12/100000</f>
        <v>0.36</v>
      </c>
      <c r="D12" s="466">
        <f t="shared" ref="D12:I17" si="7">+$C12*D$3</f>
        <v>0.378</v>
      </c>
      <c r="E12" s="466">
        <f t="shared" si="6"/>
        <v>0.39689999999999998</v>
      </c>
      <c r="F12" s="466">
        <f t="shared" si="6"/>
        <v>0.41674500000000003</v>
      </c>
      <c r="G12" s="466">
        <f t="shared" si="6"/>
        <v>0.43758225000000006</v>
      </c>
      <c r="H12" s="466">
        <f t="shared" si="6"/>
        <v>0.45946136250000014</v>
      </c>
      <c r="I12" s="466">
        <f t="shared" si="6"/>
        <v>0.48243443062500013</v>
      </c>
      <c r="J12" s="377"/>
      <c r="K12" s="485"/>
      <c r="L12" s="485"/>
    </row>
    <row r="13" spans="1:18">
      <c r="A13" s="134" t="s">
        <v>701</v>
      </c>
      <c r="B13" s="134" t="s">
        <v>702</v>
      </c>
      <c r="C13" s="466">
        <f>+'Input Sheet'!H144+'Input Sheet'!H145+'Input Sheet'!H146+'Input Sheet'!H147</f>
        <v>5.04</v>
      </c>
      <c r="D13" s="466">
        <f t="shared" si="7"/>
        <v>5.2920000000000007</v>
      </c>
      <c r="E13" s="466">
        <f t="shared" si="7"/>
        <v>5.5566000000000004</v>
      </c>
      <c r="F13" s="466">
        <f t="shared" si="7"/>
        <v>5.8344300000000011</v>
      </c>
      <c r="G13" s="466">
        <f t="shared" si="7"/>
        <v>6.1261515000000015</v>
      </c>
      <c r="H13" s="466">
        <f t="shared" si="7"/>
        <v>6.4324590750000015</v>
      </c>
      <c r="I13" s="466">
        <f t="shared" si="7"/>
        <v>6.7540820287500019</v>
      </c>
      <c r="J13" s="377"/>
      <c r="K13" s="485"/>
      <c r="L13" s="485"/>
    </row>
    <row r="14" spans="1:18">
      <c r="A14" s="134" t="s">
        <v>703</v>
      </c>
      <c r="B14" s="134" t="s">
        <v>704</v>
      </c>
      <c r="C14" s="466">
        <f>5000*12/100000</f>
        <v>0.6</v>
      </c>
      <c r="D14" s="466">
        <f t="shared" si="7"/>
        <v>0.63</v>
      </c>
      <c r="E14" s="466">
        <f t="shared" si="7"/>
        <v>0.66149999999999998</v>
      </c>
      <c r="F14" s="466">
        <f t="shared" si="7"/>
        <v>0.69457500000000005</v>
      </c>
      <c r="G14" s="466">
        <f t="shared" si="7"/>
        <v>0.72930375000000014</v>
      </c>
      <c r="H14" s="466">
        <f t="shared" si="7"/>
        <v>0.76576893750000019</v>
      </c>
      <c r="I14" s="466">
        <f t="shared" si="7"/>
        <v>0.80405738437500018</v>
      </c>
      <c r="J14" s="377"/>
      <c r="K14" s="485"/>
      <c r="L14" s="485"/>
    </row>
    <row r="15" spans="1:18">
      <c r="A15" s="134" t="s">
        <v>705</v>
      </c>
      <c r="B15" s="134" t="s">
        <v>704</v>
      </c>
      <c r="C15" s="466">
        <f>5000*12/100000</f>
        <v>0.6</v>
      </c>
      <c r="D15" s="466">
        <f t="shared" si="7"/>
        <v>0.63</v>
      </c>
      <c r="E15" s="466">
        <f t="shared" si="7"/>
        <v>0.66149999999999998</v>
      </c>
      <c r="F15" s="466">
        <f t="shared" si="7"/>
        <v>0.69457500000000005</v>
      </c>
      <c r="G15" s="466">
        <f t="shared" si="7"/>
        <v>0.72930375000000014</v>
      </c>
      <c r="H15" s="466">
        <f t="shared" si="7"/>
        <v>0.76576893750000019</v>
      </c>
      <c r="I15" s="466">
        <f t="shared" si="7"/>
        <v>0.80405738437500018</v>
      </c>
      <c r="J15" s="377"/>
      <c r="K15" s="485"/>
      <c r="L15" s="485"/>
    </row>
    <row r="16" spans="1:18">
      <c r="A16" s="134" t="s">
        <v>706</v>
      </c>
      <c r="B16" s="134" t="s">
        <v>707</v>
      </c>
      <c r="C16" s="466">
        <v>0.12</v>
      </c>
      <c r="D16" s="466">
        <f t="shared" si="7"/>
        <v>0.126</v>
      </c>
      <c r="E16" s="466">
        <f t="shared" si="7"/>
        <v>0.1323</v>
      </c>
      <c r="F16" s="466">
        <f t="shared" si="7"/>
        <v>0.13891500000000001</v>
      </c>
      <c r="G16" s="466">
        <f t="shared" si="7"/>
        <v>0.14586075000000001</v>
      </c>
      <c r="H16" s="466">
        <f t="shared" si="7"/>
        <v>0.15315378750000003</v>
      </c>
      <c r="I16" s="466">
        <f t="shared" si="7"/>
        <v>0.16081147687500005</v>
      </c>
      <c r="J16" s="377"/>
      <c r="K16" s="485"/>
      <c r="L16" s="485"/>
    </row>
    <row r="17" spans="1:18">
      <c r="A17" s="134" t="s">
        <v>708</v>
      </c>
      <c r="B17" s="134" t="s">
        <v>709</v>
      </c>
      <c r="C17" s="466">
        <f t="shared" ref="C17" si="8">C13*0.1</f>
        <v>0.504</v>
      </c>
      <c r="D17" s="466">
        <f t="shared" si="7"/>
        <v>0.5292</v>
      </c>
      <c r="E17" s="466">
        <f t="shared" si="7"/>
        <v>0.55566000000000004</v>
      </c>
      <c r="F17" s="466">
        <f t="shared" si="7"/>
        <v>0.58344300000000004</v>
      </c>
      <c r="G17" s="466">
        <f t="shared" si="7"/>
        <v>0.61261515000000011</v>
      </c>
      <c r="H17" s="466">
        <f t="shared" si="7"/>
        <v>0.64324590750000021</v>
      </c>
      <c r="I17" s="466">
        <f t="shared" si="7"/>
        <v>0.67540820287500025</v>
      </c>
      <c r="J17" s="377"/>
      <c r="K17" s="485"/>
      <c r="L17" s="485"/>
    </row>
    <row r="18" spans="1:18">
      <c r="A18" s="285" t="s">
        <v>710</v>
      </c>
      <c r="B18" s="367"/>
      <c r="C18" s="467">
        <f t="shared" ref="C18:I18" si="9">SUM(C6:C17)</f>
        <v>8.2439999999999998</v>
      </c>
      <c r="D18" s="467">
        <f t="shared" si="9"/>
        <v>8.6547000000000001</v>
      </c>
      <c r="E18" s="467">
        <f t="shared" si="9"/>
        <v>9.085935000000001</v>
      </c>
      <c r="F18" s="467">
        <f t="shared" si="9"/>
        <v>9.5387317500000037</v>
      </c>
      <c r="G18" s="467">
        <f t="shared" si="9"/>
        <v>10.014168337500003</v>
      </c>
      <c r="H18" s="467">
        <f t="shared" si="9"/>
        <v>10.513376754375004</v>
      </c>
      <c r="I18" s="467">
        <f t="shared" si="9"/>
        <v>11.037545592093752</v>
      </c>
      <c r="J18" s="378"/>
      <c r="K18" s="486"/>
      <c r="L18" s="486"/>
    </row>
    <row r="20" spans="1:18">
      <c r="A20" s="716"/>
      <c r="B20" s="716"/>
      <c r="C20" s="716"/>
      <c r="D20" s="716"/>
      <c r="E20" s="716"/>
      <c r="F20" s="716"/>
      <c r="G20" s="716"/>
      <c r="H20" s="716"/>
      <c r="I20" s="716"/>
      <c r="J20" s="716"/>
      <c r="K20" s="716"/>
      <c r="L20" s="716"/>
      <c r="M20" s="716"/>
      <c r="N20" s="716"/>
      <c r="O20" s="716"/>
    </row>
    <row r="21" spans="1:18" ht="18.75">
      <c r="A21" s="714" t="s">
        <v>498</v>
      </c>
      <c r="B21" s="714"/>
      <c r="C21" s="714"/>
      <c r="D21" s="714"/>
      <c r="E21" s="714"/>
      <c r="F21" s="714"/>
      <c r="G21" s="714"/>
      <c r="H21" s="714"/>
      <c r="I21" s="714"/>
      <c r="J21" s="714"/>
      <c r="K21" s="714"/>
      <c r="L21" s="714"/>
      <c r="M21" s="714"/>
      <c r="N21" s="714"/>
      <c r="O21" s="714"/>
      <c r="P21" s="714"/>
      <c r="Q21" s="714"/>
    </row>
    <row r="22" spans="1:18" s="13" customFormat="1">
      <c r="A22" s="124"/>
      <c r="B22" s="124"/>
      <c r="C22" s="462"/>
      <c r="D22" s="462"/>
      <c r="E22" s="462"/>
      <c r="F22" s="462"/>
      <c r="G22" s="462"/>
      <c r="H22" s="462"/>
      <c r="I22" s="462"/>
      <c r="J22" s="124"/>
      <c r="K22" s="462"/>
      <c r="L22" s="462"/>
      <c r="M22" s="462"/>
      <c r="N22" s="462"/>
      <c r="O22" s="462"/>
      <c r="P22" s="487"/>
      <c r="Q22" s="487"/>
      <c r="R22" s="487"/>
    </row>
    <row r="23" spans="1:18">
      <c r="A23" s="79"/>
      <c r="B23" s="79"/>
      <c r="C23" s="717" t="s">
        <v>185</v>
      </c>
      <c r="D23" s="717"/>
      <c r="E23" s="717"/>
      <c r="F23" s="717"/>
      <c r="G23" s="717"/>
      <c r="H23" s="717"/>
      <c r="I23" s="717"/>
      <c r="J23" s="79"/>
      <c r="K23" s="718" t="s">
        <v>186</v>
      </c>
      <c r="L23" s="718"/>
      <c r="M23" s="718"/>
      <c r="N23" s="718"/>
      <c r="O23" s="718"/>
      <c r="P23" s="718"/>
      <c r="Q23" s="718"/>
    </row>
    <row r="24" spans="1:18">
      <c r="A24" s="136" t="s">
        <v>0</v>
      </c>
      <c r="B24" s="132"/>
      <c r="C24" s="463" t="s">
        <v>2</v>
      </c>
      <c r="D24" s="463" t="s">
        <v>3</v>
      </c>
      <c r="E24" s="463" t="s">
        <v>4</v>
      </c>
      <c r="F24" s="463" t="s">
        <v>5</v>
      </c>
      <c r="G24" s="463" t="s">
        <v>6</v>
      </c>
      <c r="H24" s="463" t="s">
        <v>163</v>
      </c>
      <c r="I24" s="463" t="s">
        <v>162</v>
      </c>
      <c r="J24" s="137"/>
      <c r="K24" s="463" t="s">
        <v>2</v>
      </c>
      <c r="L24" s="463" t="s">
        <v>3</v>
      </c>
      <c r="M24" s="463" t="s">
        <v>4</v>
      </c>
      <c r="N24" s="463" t="s">
        <v>5</v>
      </c>
      <c r="O24" s="463" t="s">
        <v>6</v>
      </c>
      <c r="P24" s="463" t="s">
        <v>163</v>
      </c>
      <c r="Q24" s="463" t="s">
        <v>162</v>
      </c>
    </row>
    <row r="25" spans="1:18">
      <c r="A25" s="133" t="s">
        <v>187</v>
      </c>
      <c r="B25" s="84"/>
      <c r="C25" s="464"/>
      <c r="D25" s="464"/>
      <c r="E25" s="464"/>
      <c r="F25" s="464"/>
      <c r="G25" s="465"/>
      <c r="H25" s="465"/>
      <c r="I25" s="465"/>
      <c r="J25" s="84"/>
      <c r="K25" s="464"/>
      <c r="L25" s="464"/>
      <c r="M25" s="464"/>
      <c r="N25" s="464"/>
      <c r="O25" s="465"/>
      <c r="P25" s="465"/>
      <c r="Q25" s="465"/>
    </row>
    <row r="26" spans="1:18">
      <c r="A26" s="133"/>
      <c r="B26" s="84"/>
      <c r="C26" s="464"/>
      <c r="D26" s="464"/>
      <c r="E26" s="464"/>
      <c r="F26" s="464"/>
      <c r="G26" s="465"/>
      <c r="H26" s="465"/>
      <c r="I26" s="465"/>
      <c r="J26" s="84"/>
      <c r="K26" s="464"/>
      <c r="L26" s="464"/>
      <c r="M26" s="464"/>
      <c r="N26" s="464"/>
      <c r="O26" s="465"/>
      <c r="P26" s="465"/>
      <c r="Q26" s="465"/>
    </row>
    <row r="27" spans="1:18">
      <c r="A27" s="134"/>
      <c r="B27" s="134"/>
      <c r="C27" s="464"/>
      <c r="D27" s="464"/>
      <c r="E27" s="464"/>
      <c r="F27" s="464"/>
      <c r="G27" s="464"/>
      <c r="H27" s="464"/>
      <c r="I27" s="464"/>
      <c r="J27" s="84"/>
      <c r="K27" s="464"/>
      <c r="L27" s="464"/>
      <c r="M27" s="464"/>
      <c r="N27" s="464"/>
      <c r="O27" s="464"/>
      <c r="P27" s="464"/>
      <c r="Q27" s="464"/>
    </row>
    <row r="28" spans="1:18">
      <c r="A28" s="135" t="s">
        <v>191</v>
      </c>
      <c r="B28" s="135"/>
      <c r="C28" s="464"/>
      <c r="D28" s="464"/>
      <c r="E28" s="464"/>
      <c r="F28" s="464"/>
      <c r="G28" s="464"/>
      <c r="H28" s="464"/>
      <c r="I28" s="464"/>
      <c r="J28" s="84"/>
      <c r="K28" s="464"/>
      <c r="L28" s="464"/>
      <c r="M28" s="464"/>
      <c r="N28" s="464"/>
      <c r="O28" s="464"/>
      <c r="P28" s="464"/>
      <c r="Q28" s="464"/>
    </row>
    <row r="29" spans="1:18">
      <c r="A29" s="134" t="s">
        <v>188</v>
      </c>
      <c r="B29" s="134"/>
      <c r="C29" s="466">
        <f>'1.Project Cost and MOF'!D5</f>
        <v>109.31</v>
      </c>
      <c r="D29" s="466">
        <f t="shared" ref="D29:I29" si="10">C32</f>
        <v>105.84487300000001</v>
      </c>
      <c r="E29" s="466">
        <f t="shared" si="10"/>
        <v>102.37974600000001</v>
      </c>
      <c r="F29" s="466">
        <f t="shared" si="10"/>
        <v>98.914619000000016</v>
      </c>
      <c r="G29" s="466">
        <f t="shared" si="10"/>
        <v>95.449492000000021</v>
      </c>
      <c r="H29" s="466">
        <f t="shared" si="10"/>
        <v>91.984365000000025</v>
      </c>
      <c r="I29" s="466">
        <f t="shared" si="10"/>
        <v>88.51923800000003</v>
      </c>
      <c r="J29" s="84"/>
      <c r="K29" s="466">
        <f>C29</f>
        <v>109.31</v>
      </c>
      <c r="L29" s="466">
        <f t="shared" ref="L29:Q29" si="11">K32</f>
        <v>98.379000000000005</v>
      </c>
      <c r="M29" s="466">
        <f t="shared" si="11"/>
        <v>88.5411</v>
      </c>
      <c r="N29" s="466">
        <f t="shared" si="11"/>
        <v>79.686989999999994</v>
      </c>
      <c r="O29" s="466">
        <f t="shared" si="11"/>
        <v>71.718290999999994</v>
      </c>
      <c r="P29" s="466">
        <f t="shared" si="11"/>
        <v>64.546461899999997</v>
      </c>
      <c r="Q29" s="466">
        <f t="shared" si="11"/>
        <v>58.091815709999999</v>
      </c>
    </row>
    <row r="30" spans="1:18">
      <c r="A30" s="134" t="s">
        <v>16</v>
      </c>
      <c r="B30" s="134"/>
      <c r="C30" s="466">
        <f t="shared" ref="C30:I30" si="12">$C$29*$B$66</f>
        <v>3.4651269999999998</v>
      </c>
      <c r="D30" s="466">
        <f t="shared" si="12"/>
        <v>3.4651269999999998</v>
      </c>
      <c r="E30" s="466">
        <f t="shared" si="12"/>
        <v>3.4651269999999998</v>
      </c>
      <c r="F30" s="466">
        <f t="shared" si="12"/>
        <v>3.4651269999999998</v>
      </c>
      <c r="G30" s="466">
        <f t="shared" si="12"/>
        <v>3.4651269999999998</v>
      </c>
      <c r="H30" s="466">
        <f t="shared" si="12"/>
        <v>3.4651269999999998</v>
      </c>
      <c r="I30" s="466">
        <f t="shared" si="12"/>
        <v>3.4651269999999998</v>
      </c>
      <c r="J30" s="84"/>
      <c r="K30" s="466">
        <f t="shared" ref="K30:Q30" si="13">K29*$C$66</f>
        <v>10.931000000000001</v>
      </c>
      <c r="L30" s="466">
        <f t="shared" si="13"/>
        <v>9.8379000000000012</v>
      </c>
      <c r="M30" s="466">
        <f t="shared" si="13"/>
        <v>8.8541100000000004</v>
      </c>
      <c r="N30" s="466">
        <f t="shared" si="13"/>
        <v>7.968699</v>
      </c>
      <c r="O30" s="466">
        <f t="shared" si="13"/>
        <v>7.1718291000000001</v>
      </c>
      <c r="P30" s="466">
        <f t="shared" si="13"/>
        <v>6.4546461900000001</v>
      </c>
      <c r="Q30" s="466">
        <f t="shared" si="13"/>
        <v>5.8091815709999999</v>
      </c>
    </row>
    <row r="31" spans="1:18">
      <c r="A31" s="134" t="s">
        <v>189</v>
      </c>
      <c r="B31" s="134"/>
      <c r="C31" s="466">
        <f>C30</f>
        <v>3.4651269999999998</v>
      </c>
      <c r="D31" s="466">
        <f t="shared" ref="D31:I31" si="14">C31+D30</f>
        <v>6.9302539999999997</v>
      </c>
      <c r="E31" s="466">
        <f t="shared" si="14"/>
        <v>10.395381</v>
      </c>
      <c r="F31" s="466">
        <f t="shared" si="14"/>
        <v>13.860507999999999</v>
      </c>
      <c r="G31" s="466">
        <f t="shared" si="14"/>
        <v>17.325634999999998</v>
      </c>
      <c r="H31" s="466">
        <f t="shared" si="14"/>
        <v>20.790761999999997</v>
      </c>
      <c r="I31" s="466">
        <f t="shared" si="14"/>
        <v>24.255888999999996</v>
      </c>
      <c r="J31" s="84"/>
      <c r="K31" s="466">
        <f>K30</f>
        <v>10.931000000000001</v>
      </c>
      <c r="L31" s="466">
        <f t="shared" ref="L31:Q31" si="15">K31+L30</f>
        <v>20.768900000000002</v>
      </c>
      <c r="M31" s="466">
        <f t="shared" si="15"/>
        <v>29.623010000000001</v>
      </c>
      <c r="N31" s="466">
        <f t="shared" si="15"/>
        <v>37.591709000000002</v>
      </c>
      <c r="O31" s="466">
        <f t="shared" si="15"/>
        <v>44.763538100000005</v>
      </c>
      <c r="P31" s="466">
        <f t="shared" si="15"/>
        <v>51.218184290000004</v>
      </c>
      <c r="Q31" s="466">
        <f t="shared" si="15"/>
        <v>57.027365861000007</v>
      </c>
    </row>
    <row r="32" spans="1:18">
      <c r="A32" s="134" t="s">
        <v>190</v>
      </c>
      <c r="B32" s="134"/>
      <c r="C32" s="466">
        <f t="shared" ref="C32:I32" si="16">C29-C30</f>
        <v>105.84487300000001</v>
      </c>
      <c r="D32" s="466">
        <f t="shared" si="16"/>
        <v>102.37974600000001</v>
      </c>
      <c r="E32" s="466">
        <f t="shared" si="16"/>
        <v>98.914619000000016</v>
      </c>
      <c r="F32" s="466">
        <f t="shared" si="16"/>
        <v>95.449492000000021</v>
      </c>
      <c r="G32" s="466">
        <f t="shared" si="16"/>
        <v>91.984365000000025</v>
      </c>
      <c r="H32" s="466">
        <f t="shared" si="16"/>
        <v>88.51923800000003</v>
      </c>
      <c r="I32" s="466">
        <f t="shared" si="16"/>
        <v>85.054111000000034</v>
      </c>
      <c r="J32" s="84"/>
      <c r="K32" s="466">
        <f t="shared" ref="K32:Q32" si="17">K29-K30</f>
        <v>98.379000000000005</v>
      </c>
      <c r="L32" s="466">
        <f t="shared" si="17"/>
        <v>88.5411</v>
      </c>
      <c r="M32" s="466">
        <f t="shared" si="17"/>
        <v>79.686989999999994</v>
      </c>
      <c r="N32" s="466">
        <f t="shared" si="17"/>
        <v>71.718290999999994</v>
      </c>
      <c r="O32" s="466">
        <f t="shared" si="17"/>
        <v>64.546461899999997</v>
      </c>
      <c r="P32" s="466">
        <f t="shared" si="17"/>
        <v>58.091815709999999</v>
      </c>
      <c r="Q32" s="466">
        <f t="shared" si="17"/>
        <v>52.282634138999995</v>
      </c>
    </row>
    <row r="33" spans="1:17">
      <c r="A33" s="134"/>
      <c r="B33" s="134"/>
      <c r="C33" s="466"/>
      <c r="D33" s="466"/>
      <c r="E33" s="466"/>
      <c r="F33" s="466"/>
      <c r="G33" s="466"/>
      <c r="H33" s="466"/>
      <c r="I33" s="466"/>
      <c r="J33" s="84"/>
      <c r="K33" s="466"/>
      <c r="L33" s="466"/>
      <c r="M33" s="466"/>
      <c r="N33" s="466"/>
      <c r="O33" s="466"/>
      <c r="P33" s="466"/>
      <c r="Q33" s="466"/>
    </row>
    <row r="34" spans="1:17">
      <c r="A34" s="135" t="s">
        <v>192</v>
      </c>
      <c r="B34" s="135"/>
      <c r="C34" s="466"/>
      <c r="D34" s="466"/>
      <c r="E34" s="466"/>
      <c r="F34" s="466"/>
      <c r="G34" s="466"/>
      <c r="H34" s="466"/>
      <c r="I34" s="466"/>
      <c r="J34" s="84"/>
      <c r="K34" s="466"/>
      <c r="L34" s="466"/>
      <c r="M34" s="466"/>
      <c r="N34" s="466"/>
      <c r="O34" s="466"/>
      <c r="P34" s="466"/>
      <c r="Q34" s="466"/>
    </row>
    <row r="35" spans="1:17">
      <c r="A35" s="134" t="s">
        <v>188</v>
      </c>
      <c r="B35" s="134"/>
      <c r="C35" s="466">
        <f>'1.Project Cost and MOF'!D6</f>
        <v>76.734380000000002</v>
      </c>
      <c r="D35" s="466">
        <f t="shared" ref="D35:I35" si="18">C38</f>
        <v>71.877093746</v>
      </c>
      <c r="E35" s="466">
        <f t="shared" si="18"/>
        <v>67.019807491999998</v>
      </c>
      <c r="F35" s="466">
        <f t="shared" si="18"/>
        <v>62.162521237999997</v>
      </c>
      <c r="G35" s="466">
        <f t="shared" si="18"/>
        <v>57.305234983999995</v>
      </c>
      <c r="H35" s="466">
        <f t="shared" si="18"/>
        <v>52.447948729999993</v>
      </c>
      <c r="I35" s="466">
        <f t="shared" si="18"/>
        <v>47.590662475999991</v>
      </c>
      <c r="J35" s="84"/>
      <c r="K35" s="466">
        <f>C35</f>
        <v>76.734380000000002</v>
      </c>
      <c r="L35" s="466">
        <f t="shared" ref="L35:Q35" si="19">K38</f>
        <v>65.224222999999995</v>
      </c>
      <c r="M35" s="466">
        <f t="shared" si="19"/>
        <v>55.440589549999999</v>
      </c>
      <c r="N35" s="466">
        <f t="shared" si="19"/>
        <v>47.124501117500003</v>
      </c>
      <c r="O35" s="466">
        <f t="shared" si="19"/>
        <v>40.055825949875</v>
      </c>
      <c r="P35" s="466">
        <f t="shared" si="19"/>
        <v>34.047452057393748</v>
      </c>
      <c r="Q35" s="466">
        <f t="shared" si="19"/>
        <v>28.940334248784687</v>
      </c>
    </row>
    <row r="36" spans="1:17">
      <c r="A36" s="134" t="s">
        <v>16</v>
      </c>
      <c r="B36" s="134"/>
      <c r="C36" s="466">
        <f t="shared" ref="C36:I36" si="20">$C$35*$B$70</f>
        <v>4.8572862539999999</v>
      </c>
      <c r="D36" s="466">
        <f t="shared" si="20"/>
        <v>4.8572862539999999</v>
      </c>
      <c r="E36" s="466">
        <f t="shared" si="20"/>
        <v>4.8572862539999999</v>
      </c>
      <c r="F36" s="466">
        <f t="shared" si="20"/>
        <v>4.8572862539999999</v>
      </c>
      <c r="G36" s="466">
        <f t="shared" si="20"/>
        <v>4.8572862539999999</v>
      </c>
      <c r="H36" s="466">
        <f t="shared" si="20"/>
        <v>4.8572862539999999</v>
      </c>
      <c r="I36" s="466">
        <f t="shared" si="20"/>
        <v>4.8572862539999999</v>
      </c>
      <c r="J36" s="84"/>
      <c r="K36" s="466">
        <f t="shared" ref="K36:Q36" si="21">K35*$C$70</f>
        <v>11.510157</v>
      </c>
      <c r="L36" s="466">
        <f t="shared" si="21"/>
        <v>9.7836334499999982</v>
      </c>
      <c r="M36" s="466">
        <f t="shared" si="21"/>
        <v>8.3160884324999991</v>
      </c>
      <c r="N36" s="466">
        <f t="shared" si="21"/>
        <v>7.0686751676249999</v>
      </c>
      <c r="O36" s="466">
        <f t="shared" si="21"/>
        <v>6.0083738924812495</v>
      </c>
      <c r="P36" s="466">
        <f t="shared" si="21"/>
        <v>5.1071178086090621</v>
      </c>
      <c r="Q36" s="466">
        <f t="shared" si="21"/>
        <v>4.3410501373177031</v>
      </c>
    </row>
    <row r="37" spans="1:17">
      <c r="A37" s="134" t="s">
        <v>189</v>
      </c>
      <c r="B37" s="134"/>
      <c r="C37" s="466">
        <f>C36</f>
        <v>4.8572862539999999</v>
      </c>
      <c r="D37" s="466">
        <f t="shared" ref="D37:I37" si="22">C37+D36</f>
        <v>9.7145725079999998</v>
      </c>
      <c r="E37" s="466">
        <f t="shared" si="22"/>
        <v>14.571858762</v>
      </c>
      <c r="F37" s="466">
        <f t="shared" si="22"/>
        <v>19.429145016</v>
      </c>
      <c r="G37" s="466">
        <f t="shared" si="22"/>
        <v>24.286431270000001</v>
      </c>
      <c r="H37" s="466">
        <f t="shared" si="22"/>
        <v>29.143717524000003</v>
      </c>
      <c r="I37" s="466">
        <f t="shared" si="22"/>
        <v>34.001003778000005</v>
      </c>
      <c r="J37" s="84"/>
      <c r="K37" s="466">
        <f>K36</f>
        <v>11.510157</v>
      </c>
      <c r="L37" s="466">
        <f t="shared" ref="L37:Q37" si="23">K37+L36</f>
        <v>21.293790449999996</v>
      </c>
      <c r="M37" s="466">
        <f t="shared" si="23"/>
        <v>29.609878882499995</v>
      </c>
      <c r="N37" s="466">
        <f t="shared" si="23"/>
        <v>36.678554050124994</v>
      </c>
      <c r="O37" s="466">
        <f t="shared" si="23"/>
        <v>42.686927942606246</v>
      </c>
      <c r="P37" s="466">
        <f t="shared" si="23"/>
        <v>47.794045751215307</v>
      </c>
      <c r="Q37" s="466">
        <f t="shared" si="23"/>
        <v>52.135095888533009</v>
      </c>
    </row>
    <row r="38" spans="1:17">
      <c r="A38" s="134" t="s">
        <v>190</v>
      </c>
      <c r="B38" s="134"/>
      <c r="C38" s="466">
        <f t="shared" ref="C38:I38" si="24">C35-C36</f>
        <v>71.877093746</v>
      </c>
      <c r="D38" s="466">
        <f t="shared" si="24"/>
        <v>67.019807491999998</v>
      </c>
      <c r="E38" s="466">
        <f t="shared" si="24"/>
        <v>62.162521237999997</v>
      </c>
      <c r="F38" s="466">
        <f t="shared" si="24"/>
        <v>57.305234983999995</v>
      </c>
      <c r="G38" s="466">
        <f t="shared" si="24"/>
        <v>52.447948729999993</v>
      </c>
      <c r="H38" s="466">
        <f t="shared" si="24"/>
        <v>47.590662475999991</v>
      </c>
      <c r="I38" s="466">
        <f t="shared" si="24"/>
        <v>42.73337622199999</v>
      </c>
      <c r="J38" s="84"/>
      <c r="K38" s="466">
        <f t="shared" ref="K38:Q38" si="25">K35-K36</f>
        <v>65.224222999999995</v>
      </c>
      <c r="L38" s="466">
        <f t="shared" si="25"/>
        <v>55.440589549999999</v>
      </c>
      <c r="M38" s="466">
        <f t="shared" si="25"/>
        <v>47.124501117500003</v>
      </c>
      <c r="N38" s="466">
        <f t="shared" si="25"/>
        <v>40.055825949875</v>
      </c>
      <c r="O38" s="466">
        <f t="shared" si="25"/>
        <v>34.047452057393748</v>
      </c>
      <c r="P38" s="466">
        <f t="shared" si="25"/>
        <v>28.940334248784687</v>
      </c>
      <c r="Q38" s="466">
        <f t="shared" si="25"/>
        <v>24.599284111466986</v>
      </c>
    </row>
    <row r="39" spans="1:17">
      <c r="A39" s="134"/>
      <c r="B39" s="134"/>
      <c r="C39" s="466"/>
      <c r="D39" s="466"/>
      <c r="E39" s="466"/>
      <c r="F39" s="466"/>
      <c r="G39" s="466"/>
      <c r="H39" s="466"/>
      <c r="I39" s="466"/>
      <c r="J39" s="84"/>
      <c r="K39" s="466"/>
      <c r="L39" s="466"/>
      <c r="M39" s="466"/>
      <c r="N39" s="466"/>
      <c r="O39" s="466"/>
      <c r="P39" s="466"/>
      <c r="Q39" s="466"/>
    </row>
    <row r="40" spans="1:17" hidden="1">
      <c r="A40" s="135" t="s">
        <v>193</v>
      </c>
      <c r="B40" s="135"/>
      <c r="C40" s="466"/>
      <c r="D40" s="466"/>
      <c r="E40" s="466"/>
      <c r="F40" s="466"/>
      <c r="G40" s="466"/>
      <c r="H40" s="466"/>
      <c r="I40" s="466"/>
      <c r="J40" s="84"/>
      <c r="K40" s="466"/>
      <c r="L40" s="466"/>
      <c r="M40" s="466"/>
      <c r="N40" s="466"/>
      <c r="O40" s="466"/>
      <c r="P40" s="466"/>
      <c r="Q40" s="466"/>
    </row>
    <row r="41" spans="1:17" hidden="1">
      <c r="A41" s="134" t="s">
        <v>188</v>
      </c>
      <c r="B41" s="134"/>
      <c r="C41" s="466">
        <f>'1.Project Cost and MOF'!D7</f>
        <v>0</v>
      </c>
      <c r="D41" s="466">
        <f t="shared" ref="D41:I41" si="26">C44</f>
        <v>0</v>
      </c>
      <c r="E41" s="466">
        <f t="shared" si="26"/>
        <v>0</v>
      </c>
      <c r="F41" s="466">
        <f t="shared" si="26"/>
        <v>0</v>
      </c>
      <c r="G41" s="466">
        <f t="shared" si="26"/>
        <v>0</v>
      </c>
      <c r="H41" s="466">
        <f t="shared" si="26"/>
        <v>0</v>
      </c>
      <c r="I41" s="466">
        <f t="shared" si="26"/>
        <v>0</v>
      </c>
      <c r="J41" s="84"/>
      <c r="K41" s="466">
        <f>C41</f>
        <v>0</v>
      </c>
      <c r="L41" s="466">
        <f t="shared" ref="L41:Q41" si="27">K44</f>
        <v>0</v>
      </c>
      <c r="M41" s="466">
        <f t="shared" si="27"/>
        <v>0</v>
      </c>
      <c r="N41" s="466">
        <f t="shared" si="27"/>
        <v>0</v>
      </c>
      <c r="O41" s="466">
        <f t="shared" si="27"/>
        <v>0</v>
      </c>
      <c r="P41" s="466">
        <f t="shared" si="27"/>
        <v>0</v>
      </c>
      <c r="Q41" s="466">
        <f t="shared" si="27"/>
        <v>0</v>
      </c>
    </row>
    <row r="42" spans="1:17" hidden="1">
      <c r="A42" s="134" t="s">
        <v>16</v>
      </c>
      <c r="B42" s="134"/>
      <c r="C42" s="466">
        <f t="shared" ref="C42:I42" si="28">$C$41*$B$67</f>
        <v>0</v>
      </c>
      <c r="D42" s="466">
        <f t="shared" si="28"/>
        <v>0</v>
      </c>
      <c r="E42" s="466">
        <f t="shared" si="28"/>
        <v>0</v>
      </c>
      <c r="F42" s="466">
        <f t="shared" si="28"/>
        <v>0</v>
      </c>
      <c r="G42" s="466">
        <f t="shared" si="28"/>
        <v>0</v>
      </c>
      <c r="H42" s="466">
        <f t="shared" si="28"/>
        <v>0</v>
      </c>
      <c r="I42" s="466">
        <f t="shared" si="28"/>
        <v>0</v>
      </c>
      <c r="J42" s="84"/>
      <c r="K42" s="466">
        <f t="shared" ref="K42:Q42" si="29">K41*$C$67</f>
        <v>0</v>
      </c>
      <c r="L42" s="466">
        <f t="shared" si="29"/>
        <v>0</v>
      </c>
      <c r="M42" s="466">
        <f t="shared" si="29"/>
        <v>0</v>
      </c>
      <c r="N42" s="466">
        <f t="shared" si="29"/>
        <v>0</v>
      </c>
      <c r="O42" s="466">
        <f t="shared" si="29"/>
        <v>0</v>
      </c>
      <c r="P42" s="466">
        <f t="shared" si="29"/>
        <v>0</v>
      </c>
      <c r="Q42" s="466">
        <f t="shared" si="29"/>
        <v>0</v>
      </c>
    </row>
    <row r="43" spans="1:17" hidden="1">
      <c r="A43" s="134" t="s">
        <v>189</v>
      </c>
      <c r="B43" s="134"/>
      <c r="C43" s="466">
        <f>C42</f>
        <v>0</v>
      </c>
      <c r="D43" s="466">
        <f t="shared" ref="D43:I43" si="30">C43+D42</f>
        <v>0</v>
      </c>
      <c r="E43" s="466">
        <f t="shared" si="30"/>
        <v>0</v>
      </c>
      <c r="F43" s="466">
        <f t="shared" si="30"/>
        <v>0</v>
      </c>
      <c r="G43" s="466">
        <f t="shared" si="30"/>
        <v>0</v>
      </c>
      <c r="H43" s="466">
        <f t="shared" si="30"/>
        <v>0</v>
      </c>
      <c r="I43" s="466">
        <f t="shared" si="30"/>
        <v>0</v>
      </c>
      <c r="J43" s="84"/>
      <c r="K43" s="466">
        <f>K42</f>
        <v>0</v>
      </c>
      <c r="L43" s="466">
        <f t="shared" ref="L43:Q43" si="31">K43+L42</f>
        <v>0</v>
      </c>
      <c r="M43" s="466">
        <f t="shared" si="31"/>
        <v>0</v>
      </c>
      <c r="N43" s="466">
        <f t="shared" si="31"/>
        <v>0</v>
      </c>
      <c r="O43" s="466">
        <f t="shared" si="31"/>
        <v>0</v>
      </c>
      <c r="P43" s="466">
        <f t="shared" si="31"/>
        <v>0</v>
      </c>
      <c r="Q43" s="466">
        <f t="shared" si="31"/>
        <v>0</v>
      </c>
    </row>
    <row r="44" spans="1:17" hidden="1">
      <c r="A44" s="134" t="s">
        <v>190</v>
      </c>
      <c r="B44" s="134"/>
      <c r="C44" s="466">
        <f t="shared" ref="C44:I44" si="32">C41-C42</f>
        <v>0</v>
      </c>
      <c r="D44" s="466">
        <f t="shared" si="32"/>
        <v>0</v>
      </c>
      <c r="E44" s="466">
        <f t="shared" si="32"/>
        <v>0</v>
      </c>
      <c r="F44" s="466">
        <f t="shared" si="32"/>
        <v>0</v>
      </c>
      <c r="G44" s="466">
        <f t="shared" si="32"/>
        <v>0</v>
      </c>
      <c r="H44" s="466">
        <f t="shared" si="32"/>
        <v>0</v>
      </c>
      <c r="I44" s="466">
        <f t="shared" si="32"/>
        <v>0</v>
      </c>
      <c r="J44" s="84"/>
      <c r="K44" s="466">
        <f t="shared" ref="K44:Q44" si="33">K41-K42</f>
        <v>0</v>
      </c>
      <c r="L44" s="466">
        <f t="shared" si="33"/>
        <v>0</v>
      </c>
      <c r="M44" s="466">
        <f t="shared" si="33"/>
        <v>0</v>
      </c>
      <c r="N44" s="466">
        <f t="shared" si="33"/>
        <v>0</v>
      </c>
      <c r="O44" s="466">
        <f t="shared" si="33"/>
        <v>0</v>
      </c>
      <c r="P44" s="466">
        <f t="shared" si="33"/>
        <v>0</v>
      </c>
      <c r="Q44" s="466">
        <f t="shared" si="33"/>
        <v>0</v>
      </c>
    </row>
    <row r="45" spans="1:17" hidden="1">
      <c r="A45" s="134"/>
      <c r="B45" s="134"/>
      <c r="C45" s="466"/>
      <c r="D45" s="466"/>
      <c r="E45" s="466"/>
      <c r="F45" s="466"/>
      <c r="G45" s="466"/>
      <c r="H45" s="466"/>
      <c r="I45" s="466"/>
      <c r="J45" s="84"/>
      <c r="K45" s="466"/>
      <c r="L45" s="466"/>
      <c r="M45" s="466"/>
      <c r="N45" s="466"/>
      <c r="O45" s="466"/>
      <c r="P45" s="466"/>
      <c r="Q45" s="466"/>
    </row>
    <row r="46" spans="1:17" hidden="1">
      <c r="A46" s="135" t="s">
        <v>155</v>
      </c>
      <c r="B46" s="135"/>
      <c r="C46" s="466"/>
      <c r="D46" s="466"/>
      <c r="E46" s="466"/>
      <c r="F46" s="466"/>
      <c r="G46" s="466"/>
      <c r="H46" s="466"/>
      <c r="I46" s="466"/>
      <c r="J46" s="84"/>
      <c r="K46" s="466"/>
      <c r="L46" s="466"/>
      <c r="M46" s="466"/>
      <c r="N46" s="466"/>
      <c r="O46" s="466"/>
      <c r="P46" s="466"/>
      <c r="Q46" s="466"/>
    </row>
    <row r="47" spans="1:17" hidden="1">
      <c r="A47" s="134" t="s">
        <v>188</v>
      </c>
      <c r="B47" s="134"/>
      <c r="C47" s="466">
        <f>'1.Project Cost and MOF'!D9</f>
        <v>0</v>
      </c>
      <c r="D47" s="466">
        <f t="shared" ref="D47:I47" si="34">C50</f>
        <v>0</v>
      </c>
      <c r="E47" s="466">
        <f t="shared" si="34"/>
        <v>0</v>
      </c>
      <c r="F47" s="466">
        <f t="shared" si="34"/>
        <v>0</v>
      </c>
      <c r="G47" s="466">
        <f t="shared" si="34"/>
        <v>0</v>
      </c>
      <c r="H47" s="466">
        <f t="shared" si="34"/>
        <v>0</v>
      </c>
      <c r="I47" s="466">
        <f t="shared" si="34"/>
        <v>0</v>
      </c>
      <c r="J47" s="84"/>
      <c r="K47" s="466">
        <f>C47</f>
        <v>0</v>
      </c>
      <c r="L47" s="466">
        <f t="shared" ref="L47:Q47" si="35">K50</f>
        <v>0</v>
      </c>
      <c r="M47" s="466">
        <f t="shared" si="35"/>
        <v>0</v>
      </c>
      <c r="N47" s="466">
        <f t="shared" si="35"/>
        <v>0</v>
      </c>
      <c r="O47" s="466">
        <f t="shared" si="35"/>
        <v>0</v>
      </c>
      <c r="P47" s="466">
        <f t="shared" si="35"/>
        <v>0</v>
      </c>
      <c r="Q47" s="466">
        <f t="shared" si="35"/>
        <v>0</v>
      </c>
    </row>
    <row r="48" spans="1:17" hidden="1">
      <c r="A48" s="134" t="s">
        <v>16</v>
      </c>
      <c r="B48" s="134"/>
      <c r="C48" s="466">
        <f t="shared" ref="C48:I48" si="36">$C$47*$B$69</f>
        <v>0</v>
      </c>
      <c r="D48" s="466">
        <f t="shared" si="36"/>
        <v>0</v>
      </c>
      <c r="E48" s="466">
        <f t="shared" si="36"/>
        <v>0</v>
      </c>
      <c r="F48" s="466">
        <f t="shared" si="36"/>
        <v>0</v>
      </c>
      <c r="G48" s="466">
        <f t="shared" si="36"/>
        <v>0</v>
      </c>
      <c r="H48" s="466">
        <f t="shared" si="36"/>
        <v>0</v>
      </c>
      <c r="I48" s="466">
        <f t="shared" si="36"/>
        <v>0</v>
      </c>
      <c r="J48" s="84"/>
      <c r="K48" s="466">
        <f t="shared" ref="K48:Q48" si="37">K47*$C$69</f>
        <v>0</v>
      </c>
      <c r="L48" s="466">
        <f t="shared" si="37"/>
        <v>0</v>
      </c>
      <c r="M48" s="466">
        <f t="shared" si="37"/>
        <v>0</v>
      </c>
      <c r="N48" s="466">
        <f t="shared" si="37"/>
        <v>0</v>
      </c>
      <c r="O48" s="466">
        <f t="shared" si="37"/>
        <v>0</v>
      </c>
      <c r="P48" s="466">
        <f t="shared" si="37"/>
        <v>0</v>
      </c>
      <c r="Q48" s="466">
        <f t="shared" si="37"/>
        <v>0</v>
      </c>
    </row>
    <row r="49" spans="1:17" hidden="1">
      <c r="A49" s="134" t="s">
        <v>189</v>
      </c>
      <c r="B49" s="134"/>
      <c r="C49" s="466">
        <f>C48</f>
        <v>0</v>
      </c>
      <c r="D49" s="466">
        <f t="shared" ref="D49:I49" si="38">C49+D48</f>
        <v>0</v>
      </c>
      <c r="E49" s="466">
        <f t="shared" si="38"/>
        <v>0</v>
      </c>
      <c r="F49" s="466">
        <f t="shared" si="38"/>
        <v>0</v>
      </c>
      <c r="G49" s="466">
        <f t="shared" si="38"/>
        <v>0</v>
      </c>
      <c r="H49" s="466">
        <f t="shared" si="38"/>
        <v>0</v>
      </c>
      <c r="I49" s="466">
        <f t="shared" si="38"/>
        <v>0</v>
      </c>
      <c r="J49" s="84"/>
      <c r="K49" s="466">
        <f>K48</f>
        <v>0</v>
      </c>
      <c r="L49" s="466">
        <f t="shared" ref="L49:Q49" si="39">K49+L48</f>
        <v>0</v>
      </c>
      <c r="M49" s="466">
        <f t="shared" si="39"/>
        <v>0</v>
      </c>
      <c r="N49" s="466">
        <f t="shared" si="39"/>
        <v>0</v>
      </c>
      <c r="O49" s="466">
        <f t="shared" si="39"/>
        <v>0</v>
      </c>
      <c r="P49" s="466">
        <f t="shared" si="39"/>
        <v>0</v>
      </c>
      <c r="Q49" s="466">
        <f t="shared" si="39"/>
        <v>0</v>
      </c>
    </row>
    <row r="50" spans="1:17" hidden="1">
      <c r="A50" s="134" t="s">
        <v>190</v>
      </c>
      <c r="B50" s="134"/>
      <c r="C50" s="466">
        <f t="shared" ref="C50:I50" si="40">C47-C48</f>
        <v>0</v>
      </c>
      <c r="D50" s="466">
        <f t="shared" si="40"/>
        <v>0</v>
      </c>
      <c r="E50" s="466">
        <f t="shared" si="40"/>
        <v>0</v>
      </c>
      <c r="F50" s="466">
        <f t="shared" si="40"/>
        <v>0</v>
      </c>
      <c r="G50" s="466">
        <f t="shared" si="40"/>
        <v>0</v>
      </c>
      <c r="H50" s="466">
        <f t="shared" si="40"/>
        <v>0</v>
      </c>
      <c r="I50" s="466">
        <f t="shared" si="40"/>
        <v>0</v>
      </c>
      <c r="J50" s="84"/>
      <c r="K50" s="466">
        <f t="shared" ref="K50:Q50" si="41">K47-K48</f>
        <v>0</v>
      </c>
      <c r="L50" s="466">
        <f t="shared" si="41"/>
        <v>0</v>
      </c>
      <c r="M50" s="466">
        <f t="shared" si="41"/>
        <v>0</v>
      </c>
      <c r="N50" s="466">
        <f t="shared" si="41"/>
        <v>0</v>
      </c>
      <c r="O50" s="466">
        <f t="shared" si="41"/>
        <v>0</v>
      </c>
      <c r="P50" s="466">
        <f t="shared" si="41"/>
        <v>0</v>
      </c>
      <c r="Q50" s="466">
        <f t="shared" si="41"/>
        <v>0</v>
      </c>
    </row>
    <row r="51" spans="1:17" hidden="1">
      <c r="A51" s="134"/>
      <c r="B51" s="134"/>
      <c r="C51" s="466"/>
      <c r="D51" s="466"/>
      <c r="E51" s="466"/>
      <c r="F51" s="466"/>
      <c r="G51" s="466"/>
      <c r="H51" s="466"/>
      <c r="I51" s="466"/>
      <c r="J51" s="84"/>
      <c r="K51" s="466"/>
      <c r="L51" s="466"/>
      <c r="M51" s="466"/>
      <c r="N51" s="466"/>
      <c r="O51" s="466"/>
      <c r="P51" s="466"/>
      <c r="Q51" s="466"/>
    </row>
    <row r="52" spans="1:17" hidden="1">
      <c r="A52" s="285" t="s">
        <v>317</v>
      </c>
      <c r="B52" s="134"/>
      <c r="C52" s="466"/>
      <c r="D52" s="466"/>
      <c r="E52" s="466"/>
      <c r="F52" s="466"/>
      <c r="G52" s="466"/>
      <c r="H52" s="466"/>
      <c r="I52" s="466"/>
      <c r="J52" s="84"/>
      <c r="K52" s="466"/>
      <c r="L52" s="466"/>
      <c r="M52" s="466"/>
      <c r="N52" s="466"/>
      <c r="O52" s="466"/>
      <c r="P52" s="466"/>
      <c r="Q52" s="466"/>
    </row>
    <row r="53" spans="1:17" hidden="1">
      <c r="A53" s="134" t="str">
        <f>A47</f>
        <v>Asset Value</v>
      </c>
      <c r="B53" s="134"/>
      <c r="C53" s="466">
        <f>'1.Project Cost and MOF'!D8</f>
        <v>0</v>
      </c>
      <c r="D53" s="466">
        <f t="shared" ref="D53:I53" si="42">C56</f>
        <v>0</v>
      </c>
      <c r="E53" s="466">
        <f t="shared" si="42"/>
        <v>0</v>
      </c>
      <c r="F53" s="466">
        <f t="shared" si="42"/>
        <v>0</v>
      </c>
      <c r="G53" s="466">
        <f t="shared" si="42"/>
        <v>0</v>
      </c>
      <c r="H53" s="466">
        <f t="shared" si="42"/>
        <v>0</v>
      </c>
      <c r="I53" s="466">
        <f t="shared" si="42"/>
        <v>0</v>
      </c>
      <c r="J53" s="84"/>
      <c r="K53" s="466">
        <f>C53</f>
        <v>0</v>
      </c>
      <c r="L53" s="466">
        <f t="shared" ref="L53:Q53" si="43">K56</f>
        <v>0</v>
      </c>
      <c r="M53" s="466">
        <f t="shared" si="43"/>
        <v>0</v>
      </c>
      <c r="N53" s="466">
        <f t="shared" si="43"/>
        <v>0</v>
      </c>
      <c r="O53" s="466">
        <f t="shared" si="43"/>
        <v>0</v>
      </c>
      <c r="P53" s="466">
        <f t="shared" si="43"/>
        <v>0</v>
      </c>
      <c r="Q53" s="466">
        <f t="shared" si="43"/>
        <v>0</v>
      </c>
    </row>
    <row r="54" spans="1:17" hidden="1">
      <c r="A54" s="134" t="str">
        <f>A48</f>
        <v>Depreciation</v>
      </c>
      <c r="B54" s="134"/>
      <c r="C54" s="466">
        <f t="shared" ref="C54:I54" si="44">$C$53*$B$68</f>
        <v>0</v>
      </c>
      <c r="D54" s="466">
        <f t="shared" si="44"/>
        <v>0</v>
      </c>
      <c r="E54" s="466">
        <f t="shared" si="44"/>
        <v>0</v>
      </c>
      <c r="F54" s="466">
        <f t="shared" si="44"/>
        <v>0</v>
      </c>
      <c r="G54" s="466">
        <f t="shared" si="44"/>
        <v>0</v>
      </c>
      <c r="H54" s="466">
        <f t="shared" si="44"/>
        <v>0</v>
      </c>
      <c r="I54" s="466">
        <f t="shared" si="44"/>
        <v>0</v>
      </c>
      <c r="J54" s="84"/>
      <c r="K54" s="466">
        <f t="shared" ref="K54:Q54" si="45">K53*$C$68</f>
        <v>0</v>
      </c>
      <c r="L54" s="466">
        <f t="shared" si="45"/>
        <v>0</v>
      </c>
      <c r="M54" s="466">
        <f t="shared" si="45"/>
        <v>0</v>
      </c>
      <c r="N54" s="466">
        <f t="shared" si="45"/>
        <v>0</v>
      </c>
      <c r="O54" s="466">
        <f t="shared" si="45"/>
        <v>0</v>
      </c>
      <c r="P54" s="466">
        <f t="shared" si="45"/>
        <v>0</v>
      </c>
      <c r="Q54" s="466">
        <f t="shared" si="45"/>
        <v>0</v>
      </c>
    </row>
    <row r="55" spans="1:17" hidden="1">
      <c r="A55" s="134" t="str">
        <f>A49</f>
        <v>Accumulated Depreciation</v>
      </c>
      <c r="B55" s="134"/>
      <c r="C55" s="466">
        <f>C54</f>
        <v>0</v>
      </c>
      <c r="D55" s="466">
        <f t="shared" ref="D55:I55" si="46">D54+C55</f>
        <v>0</v>
      </c>
      <c r="E55" s="466">
        <f t="shared" si="46"/>
        <v>0</v>
      </c>
      <c r="F55" s="466">
        <f t="shared" si="46"/>
        <v>0</v>
      </c>
      <c r="G55" s="466">
        <f t="shared" si="46"/>
        <v>0</v>
      </c>
      <c r="H55" s="466">
        <f t="shared" si="46"/>
        <v>0</v>
      </c>
      <c r="I55" s="466">
        <f t="shared" si="46"/>
        <v>0</v>
      </c>
      <c r="J55" s="84"/>
      <c r="K55" s="466">
        <f>K54</f>
        <v>0</v>
      </c>
      <c r="L55" s="466">
        <f t="shared" ref="L55:Q55" si="47">L54+K55</f>
        <v>0</v>
      </c>
      <c r="M55" s="466">
        <f t="shared" si="47"/>
        <v>0</v>
      </c>
      <c r="N55" s="466">
        <f t="shared" si="47"/>
        <v>0</v>
      </c>
      <c r="O55" s="466">
        <f t="shared" si="47"/>
        <v>0</v>
      </c>
      <c r="P55" s="466">
        <f t="shared" si="47"/>
        <v>0</v>
      </c>
      <c r="Q55" s="466">
        <f t="shared" si="47"/>
        <v>0</v>
      </c>
    </row>
    <row r="56" spans="1:17" hidden="1">
      <c r="A56" s="134" t="str">
        <f>A50</f>
        <v>Net Fixed Assets</v>
      </c>
      <c r="B56" s="134"/>
      <c r="C56" s="466">
        <f t="shared" ref="C56:I56" si="48">C53-C54</f>
        <v>0</v>
      </c>
      <c r="D56" s="466">
        <f t="shared" si="48"/>
        <v>0</v>
      </c>
      <c r="E56" s="466">
        <f t="shared" si="48"/>
        <v>0</v>
      </c>
      <c r="F56" s="466">
        <f t="shared" si="48"/>
        <v>0</v>
      </c>
      <c r="G56" s="466">
        <f t="shared" si="48"/>
        <v>0</v>
      </c>
      <c r="H56" s="466">
        <f t="shared" si="48"/>
        <v>0</v>
      </c>
      <c r="I56" s="466">
        <f t="shared" si="48"/>
        <v>0</v>
      </c>
      <c r="J56" s="84"/>
      <c r="K56" s="466">
        <f t="shared" ref="K56:Q56" si="49">K53-K54</f>
        <v>0</v>
      </c>
      <c r="L56" s="466">
        <f t="shared" si="49"/>
        <v>0</v>
      </c>
      <c r="M56" s="466">
        <f t="shared" si="49"/>
        <v>0</v>
      </c>
      <c r="N56" s="466">
        <f t="shared" si="49"/>
        <v>0</v>
      </c>
      <c r="O56" s="466">
        <f t="shared" si="49"/>
        <v>0</v>
      </c>
      <c r="P56" s="466">
        <f t="shared" si="49"/>
        <v>0</v>
      </c>
      <c r="Q56" s="466">
        <f t="shared" si="49"/>
        <v>0</v>
      </c>
    </row>
    <row r="57" spans="1:17">
      <c r="A57" s="135" t="s">
        <v>194</v>
      </c>
      <c r="B57" s="135"/>
      <c r="C57" s="467">
        <f t="shared" ref="C57:I60" si="50">C41+C35+C29+C47+C53</f>
        <v>186.04437999999999</v>
      </c>
      <c r="D57" s="467">
        <f t="shared" si="50"/>
        <v>177.72196674600002</v>
      </c>
      <c r="E57" s="467">
        <f t="shared" si="50"/>
        <v>169.399553492</v>
      </c>
      <c r="F57" s="467">
        <f t="shared" si="50"/>
        <v>161.07714023800003</v>
      </c>
      <c r="G57" s="467">
        <f t="shared" si="50"/>
        <v>152.754726984</v>
      </c>
      <c r="H57" s="467">
        <f t="shared" si="50"/>
        <v>144.43231373000003</v>
      </c>
      <c r="I57" s="467">
        <f t="shared" si="50"/>
        <v>136.10990047600001</v>
      </c>
      <c r="J57" s="84"/>
      <c r="K57" s="467">
        <f t="shared" ref="K57:Q60" si="51">K41+K35+K29+K47+K53</f>
        <v>186.04437999999999</v>
      </c>
      <c r="L57" s="467">
        <f t="shared" si="51"/>
        <v>163.60322300000001</v>
      </c>
      <c r="M57" s="467">
        <f t="shared" si="51"/>
        <v>143.98168955</v>
      </c>
      <c r="N57" s="467">
        <f t="shared" si="51"/>
        <v>126.8114911175</v>
      </c>
      <c r="O57" s="467">
        <f t="shared" si="51"/>
        <v>111.77411694987499</v>
      </c>
      <c r="P57" s="467">
        <f t="shared" si="51"/>
        <v>98.593913957393738</v>
      </c>
      <c r="Q57" s="467">
        <f t="shared" si="51"/>
        <v>87.032149958784686</v>
      </c>
    </row>
    <row r="58" spans="1:17">
      <c r="A58" s="135" t="s">
        <v>195</v>
      </c>
      <c r="B58" s="135"/>
      <c r="C58" s="467">
        <f t="shared" si="50"/>
        <v>8.3224132540000006</v>
      </c>
      <c r="D58" s="467">
        <f t="shared" si="50"/>
        <v>8.3224132540000006</v>
      </c>
      <c r="E58" s="467">
        <f t="shared" si="50"/>
        <v>8.3224132540000006</v>
      </c>
      <c r="F58" s="467">
        <f t="shared" si="50"/>
        <v>8.3224132540000006</v>
      </c>
      <c r="G58" s="467">
        <f t="shared" si="50"/>
        <v>8.3224132540000006</v>
      </c>
      <c r="H58" s="467">
        <f t="shared" si="50"/>
        <v>8.3224132540000006</v>
      </c>
      <c r="I58" s="467">
        <f t="shared" si="50"/>
        <v>8.3224132540000006</v>
      </c>
      <c r="J58" s="84"/>
      <c r="K58" s="467">
        <f t="shared" si="51"/>
        <v>22.441157</v>
      </c>
      <c r="L58" s="467">
        <f t="shared" si="51"/>
        <v>19.621533450000001</v>
      </c>
      <c r="M58" s="467">
        <f t="shared" si="51"/>
        <v>17.170198432500001</v>
      </c>
      <c r="N58" s="467">
        <f t="shared" si="51"/>
        <v>15.037374167625</v>
      </c>
      <c r="O58" s="467">
        <f t="shared" si="51"/>
        <v>13.180202992481249</v>
      </c>
      <c r="P58" s="467">
        <f t="shared" si="51"/>
        <v>11.561763998609063</v>
      </c>
      <c r="Q58" s="467">
        <f t="shared" si="51"/>
        <v>10.150231708317703</v>
      </c>
    </row>
    <row r="59" spans="1:17">
      <c r="A59" s="135" t="s">
        <v>196</v>
      </c>
      <c r="B59" s="135"/>
      <c r="C59" s="467">
        <f t="shared" si="50"/>
        <v>8.3224132540000006</v>
      </c>
      <c r="D59" s="467">
        <f t="shared" si="50"/>
        <v>16.644826508000001</v>
      </c>
      <c r="E59" s="467">
        <f t="shared" si="50"/>
        <v>24.967239761999998</v>
      </c>
      <c r="F59" s="467">
        <f t="shared" si="50"/>
        <v>33.289653016000003</v>
      </c>
      <c r="G59" s="467">
        <f t="shared" si="50"/>
        <v>41.61206627</v>
      </c>
      <c r="H59" s="467">
        <f t="shared" si="50"/>
        <v>49.934479523999997</v>
      </c>
      <c r="I59" s="467">
        <f t="shared" si="50"/>
        <v>58.256892778000001</v>
      </c>
      <c r="J59" s="84"/>
      <c r="K59" s="467">
        <f t="shared" si="51"/>
        <v>22.441157</v>
      </c>
      <c r="L59" s="467">
        <f t="shared" si="51"/>
        <v>42.062690449999998</v>
      </c>
      <c r="M59" s="467">
        <f t="shared" si="51"/>
        <v>59.232888882499992</v>
      </c>
      <c r="N59" s="467">
        <f t="shared" si="51"/>
        <v>74.270263050124996</v>
      </c>
      <c r="O59" s="467">
        <f t="shared" si="51"/>
        <v>87.450466042606251</v>
      </c>
      <c r="P59" s="467">
        <f t="shared" si="51"/>
        <v>99.012230041215304</v>
      </c>
      <c r="Q59" s="467">
        <f t="shared" si="51"/>
        <v>109.16246174953301</v>
      </c>
    </row>
    <row r="60" spans="1:17">
      <c r="A60" s="135" t="s">
        <v>190</v>
      </c>
      <c r="B60" s="135"/>
      <c r="C60" s="467">
        <f t="shared" si="50"/>
        <v>177.72196674600002</v>
      </c>
      <c r="D60" s="467">
        <f t="shared" si="50"/>
        <v>169.399553492</v>
      </c>
      <c r="E60" s="467">
        <f t="shared" si="50"/>
        <v>161.07714023800003</v>
      </c>
      <c r="F60" s="467">
        <f t="shared" si="50"/>
        <v>152.754726984</v>
      </c>
      <c r="G60" s="467">
        <f t="shared" si="50"/>
        <v>144.43231373000003</v>
      </c>
      <c r="H60" s="467">
        <f t="shared" si="50"/>
        <v>136.10990047600001</v>
      </c>
      <c r="I60" s="467">
        <f t="shared" si="50"/>
        <v>127.78748722200002</v>
      </c>
      <c r="J60" s="84"/>
      <c r="K60" s="467">
        <f t="shared" si="51"/>
        <v>163.60322300000001</v>
      </c>
      <c r="L60" s="467">
        <f t="shared" si="51"/>
        <v>143.98168955</v>
      </c>
      <c r="M60" s="467">
        <f t="shared" si="51"/>
        <v>126.8114911175</v>
      </c>
      <c r="N60" s="467">
        <f t="shared" si="51"/>
        <v>111.77411694987499</v>
      </c>
      <c r="O60" s="467">
        <f t="shared" si="51"/>
        <v>98.593913957393738</v>
      </c>
      <c r="P60" s="467">
        <f t="shared" si="51"/>
        <v>87.032149958784686</v>
      </c>
      <c r="Q60" s="467">
        <f t="shared" si="51"/>
        <v>76.881918250466981</v>
      </c>
    </row>
    <row r="61" spans="1:17">
      <c r="A61" s="138"/>
      <c r="B61" s="138"/>
      <c r="C61" s="468"/>
      <c r="D61" s="468"/>
      <c r="E61" s="468"/>
      <c r="F61" s="468"/>
      <c r="G61" s="468"/>
      <c r="H61" s="468"/>
      <c r="I61" s="468"/>
      <c r="J61" s="79"/>
    </row>
    <row r="62" spans="1:17">
      <c r="A62" s="79"/>
      <c r="B62" s="79"/>
      <c r="C62" s="469"/>
      <c r="D62" s="469"/>
      <c r="E62" s="469"/>
      <c r="F62" s="469"/>
      <c r="G62" s="469"/>
      <c r="H62" s="469"/>
      <c r="I62" s="469"/>
      <c r="J62" s="79"/>
    </row>
    <row r="63" spans="1:17" ht="29.25">
      <c r="A63" s="139" t="s">
        <v>197</v>
      </c>
      <c r="B63" s="140" t="s">
        <v>198</v>
      </c>
      <c r="C63" s="470" t="s">
        <v>199</v>
      </c>
      <c r="D63" s="469"/>
      <c r="E63" s="469"/>
      <c r="F63" s="469"/>
      <c r="G63" s="469"/>
      <c r="H63" s="469"/>
      <c r="I63" s="469"/>
      <c r="J63" s="79"/>
    </row>
    <row r="64" spans="1:17" ht="29.25">
      <c r="A64" s="141" t="s">
        <v>200</v>
      </c>
      <c r="B64" s="140" t="s">
        <v>201</v>
      </c>
      <c r="C64" s="470" t="s">
        <v>202</v>
      </c>
      <c r="D64" s="469"/>
      <c r="E64" s="469"/>
      <c r="F64" s="469"/>
      <c r="G64" s="469"/>
      <c r="H64" s="469"/>
      <c r="I64" s="469"/>
      <c r="J64" s="79"/>
    </row>
    <row r="65" spans="1:18">
      <c r="A65" s="141" t="s">
        <v>143</v>
      </c>
      <c r="B65" s="142">
        <v>0</v>
      </c>
      <c r="C65" s="148">
        <v>0</v>
      </c>
      <c r="D65" s="469"/>
      <c r="E65" s="469"/>
      <c r="F65" s="469"/>
      <c r="G65" s="469"/>
      <c r="H65" s="469"/>
      <c r="I65" s="469"/>
      <c r="J65" s="79"/>
    </row>
    <row r="66" spans="1:18">
      <c r="A66" s="143" t="s">
        <v>191</v>
      </c>
      <c r="B66" s="142">
        <v>3.1699999999999999E-2</v>
      </c>
      <c r="C66" s="148">
        <v>0.1</v>
      </c>
      <c r="D66" s="469"/>
      <c r="E66" s="469"/>
      <c r="F66" s="469"/>
      <c r="G66" s="469"/>
      <c r="H66" s="469"/>
      <c r="I66" s="469"/>
      <c r="J66" s="79"/>
    </row>
    <row r="67" spans="1:18">
      <c r="A67" s="143" t="s">
        <v>193</v>
      </c>
      <c r="B67" s="145">
        <v>0.1</v>
      </c>
      <c r="C67" s="148">
        <v>0.1</v>
      </c>
      <c r="D67" s="469"/>
      <c r="E67" s="469"/>
      <c r="F67" s="469"/>
      <c r="G67" s="469"/>
      <c r="H67" s="469"/>
      <c r="I67" s="469"/>
      <c r="J67" s="79"/>
    </row>
    <row r="68" spans="1:18">
      <c r="A68" s="79" t="s">
        <v>203</v>
      </c>
      <c r="B68" s="145">
        <v>0.1</v>
      </c>
      <c r="C68" s="471">
        <v>0.4</v>
      </c>
      <c r="D68" s="469"/>
      <c r="E68" s="469"/>
      <c r="F68" s="469"/>
      <c r="G68" s="469"/>
      <c r="H68" s="469"/>
      <c r="I68" s="469"/>
      <c r="J68" s="79"/>
    </row>
    <row r="69" spans="1:18">
      <c r="A69" s="79" t="s">
        <v>267</v>
      </c>
      <c r="B69" s="145">
        <v>0.1188</v>
      </c>
      <c r="C69" s="471">
        <v>0.15</v>
      </c>
      <c r="D69" s="469"/>
      <c r="E69" s="469"/>
      <c r="F69" s="469"/>
      <c r="G69" s="469"/>
      <c r="H69" s="469"/>
      <c r="I69" s="469"/>
      <c r="J69" s="79"/>
    </row>
    <row r="70" spans="1:18">
      <c r="A70" s="143" t="s">
        <v>204</v>
      </c>
      <c r="B70" s="145">
        <v>6.3299999999999995E-2</v>
      </c>
      <c r="C70" s="471">
        <v>0.15</v>
      </c>
      <c r="D70" s="469"/>
      <c r="E70" s="469"/>
      <c r="F70" s="469"/>
      <c r="G70" s="469"/>
      <c r="H70" s="469"/>
      <c r="I70" s="469"/>
      <c r="J70" s="79"/>
    </row>
    <row r="71" spans="1:18" ht="29.25">
      <c r="A71" s="141" t="s">
        <v>197</v>
      </c>
      <c r="B71" s="142"/>
      <c r="C71" s="148"/>
      <c r="D71" s="469"/>
      <c r="E71" s="469"/>
      <c r="F71" s="469"/>
      <c r="G71" s="469"/>
      <c r="H71" s="469"/>
      <c r="I71" s="469"/>
      <c r="J71" s="79"/>
    </row>
    <row r="72" spans="1:18">
      <c r="A72" s="143" t="s">
        <v>205</v>
      </c>
      <c r="B72" s="146">
        <v>0.2</v>
      </c>
      <c r="C72" s="472">
        <v>0.2</v>
      </c>
      <c r="D72" s="469"/>
      <c r="E72" s="469"/>
      <c r="F72" s="469"/>
      <c r="G72" s="469"/>
      <c r="H72" s="469"/>
      <c r="I72" s="469"/>
      <c r="J72" s="79"/>
    </row>
    <row r="73" spans="1:18">
      <c r="A73" s="79"/>
      <c r="B73" s="79"/>
      <c r="C73" s="469"/>
      <c r="D73" s="469"/>
      <c r="E73" s="469"/>
      <c r="F73" s="469"/>
      <c r="G73" s="469"/>
      <c r="H73" s="469"/>
      <c r="I73" s="469"/>
      <c r="J73" s="79"/>
    </row>
    <row r="74" spans="1:18">
      <c r="A74" s="79"/>
      <c r="B74" s="79"/>
      <c r="C74" s="469"/>
      <c r="D74" s="469"/>
      <c r="E74" s="473"/>
      <c r="F74" s="469"/>
      <c r="G74" s="469"/>
      <c r="H74" s="469"/>
      <c r="I74" s="469"/>
      <c r="J74" s="79"/>
    </row>
    <row r="75" spans="1:18" s="54" customFormat="1" ht="18.75">
      <c r="A75" s="703" t="s">
        <v>499</v>
      </c>
      <c r="B75" s="703"/>
      <c r="C75" s="703"/>
      <c r="D75" s="703"/>
      <c r="E75" s="703"/>
      <c r="F75" s="703"/>
      <c r="G75" s="703"/>
      <c r="H75" s="703"/>
      <c r="I75" s="703"/>
      <c r="J75" s="703"/>
      <c r="K75" s="474"/>
      <c r="L75" s="474"/>
      <c r="M75" s="474"/>
      <c r="N75" s="474"/>
      <c r="O75" s="474"/>
      <c r="P75" s="474"/>
      <c r="Q75" s="474"/>
      <c r="R75" s="474"/>
    </row>
    <row r="76" spans="1:18" s="54" customFormat="1">
      <c r="A76" s="33"/>
      <c r="B76" s="33"/>
      <c r="C76" s="474"/>
      <c r="D76" s="474"/>
      <c r="E76" s="474"/>
      <c r="F76" s="474"/>
      <c r="G76" s="474"/>
      <c r="H76" s="474"/>
      <c r="I76" s="474"/>
      <c r="K76" s="474"/>
      <c r="L76" s="474"/>
      <c r="M76" s="474"/>
      <c r="N76" s="474"/>
      <c r="O76" s="474"/>
      <c r="P76" s="474"/>
      <c r="Q76" s="474"/>
      <c r="R76" s="474"/>
    </row>
    <row r="77" spans="1:18" s="54" customFormat="1">
      <c r="A77" s="126" t="s">
        <v>0</v>
      </c>
      <c r="B77" s="127" t="s">
        <v>327</v>
      </c>
      <c r="C77" s="475" t="s">
        <v>2</v>
      </c>
      <c r="D77" s="475" t="s">
        <v>3</v>
      </c>
      <c r="E77" s="475" t="s">
        <v>4</v>
      </c>
      <c r="F77" s="475" t="s">
        <v>5</v>
      </c>
      <c r="G77" s="475" t="s">
        <v>6</v>
      </c>
      <c r="H77" s="475" t="s">
        <v>163</v>
      </c>
      <c r="I77" s="475" t="s">
        <v>162</v>
      </c>
      <c r="J77" s="35"/>
      <c r="K77" s="478"/>
      <c r="L77" s="478"/>
      <c r="M77" s="474"/>
      <c r="N77" s="474"/>
      <c r="O77" s="474"/>
      <c r="P77" s="474"/>
      <c r="Q77" s="474"/>
      <c r="R77" s="474"/>
    </row>
    <row r="78" spans="1:18" s="54" customFormat="1">
      <c r="A78" s="128" t="s">
        <v>246</v>
      </c>
      <c r="B78" s="129">
        <v>10</v>
      </c>
      <c r="C78" s="476">
        <f>'1.Project Cost and MOF'!$D$10/10</f>
        <v>0.93022189999999993</v>
      </c>
      <c r="D78" s="476">
        <f>'1.Project Cost and MOF'!$D$10/10</f>
        <v>0.93022189999999993</v>
      </c>
      <c r="E78" s="476">
        <f>'1.Project Cost and MOF'!$D$10/10</f>
        <v>0.93022189999999993</v>
      </c>
      <c r="F78" s="476">
        <f>'1.Project Cost and MOF'!$D$10/10</f>
        <v>0.93022189999999993</v>
      </c>
      <c r="G78" s="476">
        <f>'1.Project Cost and MOF'!$D$10/10</f>
        <v>0.93022189999999993</v>
      </c>
      <c r="H78" s="476">
        <f>'1.Project Cost and MOF'!$D$10/10</f>
        <v>0.93022189999999993</v>
      </c>
      <c r="I78" s="476">
        <f>'1.Project Cost and MOF'!$D$10/10</f>
        <v>0.93022189999999993</v>
      </c>
      <c r="J78" s="35"/>
      <c r="K78" s="478"/>
      <c r="L78" s="478"/>
      <c r="M78" s="474"/>
      <c r="N78" s="474"/>
      <c r="O78" s="474"/>
      <c r="P78" s="474"/>
      <c r="Q78" s="474"/>
      <c r="R78" s="474"/>
    </row>
    <row r="79" spans="1:18" s="54" customFormat="1">
      <c r="A79" s="130" t="s">
        <v>328</v>
      </c>
      <c r="B79" s="131"/>
      <c r="C79" s="477">
        <f t="shared" ref="C79:I79" si="52">SUM(C77:C78)</f>
        <v>0.93022189999999993</v>
      </c>
      <c r="D79" s="477">
        <f t="shared" si="52"/>
        <v>0.93022189999999993</v>
      </c>
      <c r="E79" s="477">
        <f t="shared" si="52"/>
        <v>0.93022189999999993</v>
      </c>
      <c r="F79" s="477">
        <f t="shared" si="52"/>
        <v>0.93022189999999993</v>
      </c>
      <c r="G79" s="477">
        <f t="shared" si="52"/>
        <v>0.93022189999999993</v>
      </c>
      <c r="H79" s="477">
        <f t="shared" si="52"/>
        <v>0.93022189999999993</v>
      </c>
      <c r="I79" s="477">
        <f t="shared" si="52"/>
        <v>0.93022189999999993</v>
      </c>
      <c r="J79" s="55"/>
      <c r="K79" s="488"/>
      <c r="L79" s="488"/>
      <c r="M79" s="474"/>
      <c r="N79" s="474"/>
      <c r="O79" s="474"/>
      <c r="P79" s="474"/>
      <c r="Q79" s="474"/>
      <c r="R79" s="474"/>
    </row>
    <row r="80" spans="1:18" s="54" customFormat="1">
      <c r="C80" s="478"/>
      <c r="D80" s="478"/>
      <c r="E80" s="478"/>
      <c r="F80" s="478"/>
      <c r="G80" s="478"/>
      <c r="H80" s="478"/>
      <c r="I80" s="478"/>
      <c r="J80" s="35"/>
      <c r="K80" s="478"/>
      <c r="L80" s="478"/>
      <c r="M80" s="474"/>
      <c r="N80" s="474"/>
      <c r="O80" s="474"/>
      <c r="P80" s="474"/>
      <c r="Q80" s="474"/>
      <c r="R80" s="474"/>
    </row>
    <row r="83" spans="1:11">
      <c r="A83" s="31"/>
      <c r="B83" s="32"/>
      <c r="C83" s="479"/>
      <c r="D83" s="479"/>
      <c r="E83" s="479"/>
      <c r="F83" s="479"/>
      <c r="G83" s="479"/>
      <c r="H83" s="479"/>
      <c r="I83" s="479"/>
      <c r="J83" s="32"/>
      <c r="K83" s="479"/>
    </row>
    <row r="84" spans="1:11" ht="18.75">
      <c r="A84" s="714" t="s">
        <v>500</v>
      </c>
      <c r="B84" s="714"/>
      <c r="C84" s="714"/>
      <c r="D84" s="714"/>
      <c r="E84" s="714"/>
      <c r="F84" s="714"/>
      <c r="G84" s="714"/>
      <c r="H84" s="714"/>
      <c r="I84" s="480"/>
      <c r="J84" s="125"/>
      <c r="K84" s="480"/>
    </row>
    <row r="85" spans="1:11">
      <c r="A85" s="33"/>
      <c r="B85" s="32"/>
      <c r="C85" s="479"/>
      <c r="D85" s="479"/>
      <c r="E85" s="479"/>
      <c r="F85" s="479"/>
      <c r="G85" s="479"/>
      <c r="H85" s="479"/>
      <c r="I85" s="479"/>
      <c r="J85" s="32"/>
      <c r="K85" s="479"/>
    </row>
    <row r="86" spans="1:11">
      <c r="A86" s="123" t="s">
        <v>0</v>
      </c>
      <c r="B86" s="103" t="s">
        <v>2</v>
      </c>
      <c r="C86" s="481" t="s">
        <v>3</v>
      </c>
      <c r="D86" s="481" t="s">
        <v>4</v>
      </c>
      <c r="E86" s="481" t="s">
        <v>5</v>
      </c>
      <c r="F86" s="481" t="s">
        <v>6</v>
      </c>
      <c r="G86" s="481" t="s">
        <v>163</v>
      </c>
      <c r="H86" s="481" t="s">
        <v>162</v>
      </c>
      <c r="I86" s="482"/>
      <c r="J86" s="26"/>
      <c r="K86" s="482"/>
    </row>
    <row r="87" spans="1:11">
      <c r="A87" s="75" t="s">
        <v>218</v>
      </c>
      <c r="B87" s="493">
        <f>'6.Cons Profit &amp; Loss'!B54</f>
        <v>24.364757547471033</v>
      </c>
      <c r="C87" s="493">
        <f>'6.Cons Profit &amp; Loss'!C54</f>
        <v>34.039088317671641</v>
      </c>
      <c r="D87" s="493">
        <f>'6.Cons Profit &amp; Loss'!D54</f>
        <v>42.154166117738512</v>
      </c>
      <c r="E87" s="493">
        <f>'6.Cons Profit &amp; Loss'!E54</f>
        <v>53.148743953411142</v>
      </c>
      <c r="F87" s="493">
        <f>'6.Cons Profit &amp; Loss'!F54</f>
        <v>63.174014490477347</v>
      </c>
      <c r="G87" s="493">
        <f>'6.Cons Profit &amp; Loss'!G54</f>
        <v>72.890045440457499</v>
      </c>
      <c r="H87" s="493">
        <f>'6.Cons Profit &amp; Loss'!H54</f>
        <v>80.495102192424056</v>
      </c>
      <c r="I87" s="483"/>
      <c r="J87" s="34"/>
      <c r="K87" s="483"/>
    </row>
    <row r="88" spans="1:11">
      <c r="A88" s="75" t="s">
        <v>219</v>
      </c>
      <c r="B88" s="493">
        <f>'6.Cons Profit &amp; Loss'!B46</f>
        <v>8.3224132540000006</v>
      </c>
      <c r="C88" s="493">
        <f>'6.Cons Profit &amp; Loss'!C46</f>
        <v>8.3224132540000006</v>
      </c>
      <c r="D88" s="493">
        <f>'6.Cons Profit &amp; Loss'!D46</f>
        <v>8.3224132540000006</v>
      </c>
      <c r="E88" s="493">
        <f>'6.Cons Profit &amp; Loss'!E46</f>
        <v>8.3224132540000006</v>
      </c>
      <c r="F88" s="493">
        <f>'6.Cons Profit &amp; Loss'!F46</f>
        <v>8.3224132540000006</v>
      </c>
      <c r="G88" s="493">
        <f>'6.Cons Profit &amp; Loss'!G46</f>
        <v>8.3224132540000006</v>
      </c>
      <c r="H88" s="493">
        <f>'6.Cons Profit &amp; Loss'!H46</f>
        <v>8.3224132540000006</v>
      </c>
      <c r="I88" s="483"/>
      <c r="J88" s="34"/>
      <c r="K88" s="483"/>
    </row>
    <row r="89" spans="1:11">
      <c r="A89" s="75" t="s">
        <v>220</v>
      </c>
      <c r="B89" s="493">
        <f>'3.Other Exp &amp; Taxes'!K58</f>
        <v>22.441157</v>
      </c>
      <c r="C89" s="493">
        <f>'3.Other Exp &amp; Taxes'!L58</f>
        <v>19.621533450000001</v>
      </c>
      <c r="D89" s="493">
        <f>'3.Other Exp &amp; Taxes'!M58</f>
        <v>17.170198432500001</v>
      </c>
      <c r="E89" s="493">
        <f>'3.Other Exp &amp; Taxes'!N58</f>
        <v>15.037374167625</v>
      </c>
      <c r="F89" s="493">
        <f>'3.Other Exp &amp; Taxes'!O58</f>
        <v>13.180202992481249</v>
      </c>
      <c r="G89" s="493">
        <f>'3.Other Exp &amp; Taxes'!P58</f>
        <v>11.561763998609063</v>
      </c>
      <c r="H89" s="493">
        <f>'3.Other Exp &amp; Taxes'!Q58</f>
        <v>10.150231708317703</v>
      </c>
      <c r="I89" s="483"/>
      <c r="J89" s="34"/>
      <c r="K89" s="483"/>
    </row>
    <row r="90" spans="1:11">
      <c r="A90" s="75" t="s">
        <v>279</v>
      </c>
      <c r="B90" s="493">
        <f t="shared" ref="B90:H90" si="53">B87+B88-B89</f>
        <v>10.246013801471033</v>
      </c>
      <c r="C90" s="493">
        <f t="shared" si="53"/>
        <v>22.739968121671637</v>
      </c>
      <c r="D90" s="493">
        <f t="shared" si="53"/>
        <v>33.306380939238508</v>
      </c>
      <c r="E90" s="493">
        <f t="shared" si="53"/>
        <v>46.433783039786135</v>
      </c>
      <c r="F90" s="493">
        <f t="shared" si="53"/>
        <v>58.316224751996096</v>
      </c>
      <c r="G90" s="493">
        <f t="shared" si="53"/>
        <v>69.650694695848429</v>
      </c>
      <c r="H90" s="493">
        <f t="shared" si="53"/>
        <v>78.667283738106349</v>
      </c>
      <c r="I90" s="483"/>
      <c r="J90" s="34"/>
      <c r="K90" s="483"/>
    </row>
    <row r="91" spans="1:11">
      <c r="A91" s="624" t="s">
        <v>221</v>
      </c>
      <c r="B91" s="625">
        <f t="shared" ref="B91:H91" si="54">B90*$B$94</f>
        <v>2.6639635883824688</v>
      </c>
      <c r="C91" s="494">
        <f t="shared" si="54"/>
        <v>5.9123917116346263</v>
      </c>
      <c r="D91" s="494">
        <f t="shared" si="54"/>
        <v>8.6596590442020123</v>
      </c>
      <c r="E91" s="494">
        <f t="shared" si="54"/>
        <v>12.072783590344395</v>
      </c>
      <c r="F91" s="494">
        <f t="shared" si="54"/>
        <v>15.162218435518986</v>
      </c>
      <c r="G91" s="494">
        <f t="shared" si="54"/>
        <v>18.109180620920593</v>
      </c>
      <c r="H91" s="494">
        <f t="shared" si="54"/>
        <v>20.453493771907652</v>
      </c>
      <c r="I91" s="483"/>
      <c r="J91" s="34"/>
      <c r="K91" s="483"/>
    </row>
    <row r="92" spans="1:11">
      <c r="A92" s="628"/>
      <c r="B92" s="629"/>
      <c r="C92" s="479"/>
      <c r="D92" s="479"/>
      <c r="E92" s="479"/>
      <c r="F92" s="479"/>
      <c r="G92" s="479"/>
      <c r="H92" s="479"/>
      <c r="I92" s="479"/>
      <c r="J92" s="32"/>
      <c r="K92" s="479"/>
    </row>
    <row r="93" spans="1:11">
      <c r="A93" s="626"/>
      <c r="B93" s="35"/>
      <c r="C93" s="478"/>
      <c r="D93" s="478"/>
      <c r="E93" s="478"/>
      <c r="F93" s="478"/>
      <c r="G93" s="478"/>
      <c r="H93" s="478"/>
      <c r="I93" s="478"/>
      <c r="J93" s="35"/>
      <c r="K93" s="478"/>
    </row>
    <row r="94" spans="1:11">
      <c r="A94" s="627" t="s">
        <v>379</v>
      </c>
      <c r="B94" s="242">
        <v>0.26</v>
      </c>
      <c r="C94" s="478"/>
      <c r="D94" s="478"/>
      <c r="E94" s="478"/>
      <c r="F94" s="478"/>
      <c r="G94" s="478"/>
      <c r="H94" s="478"/>
      <c r="I94" s="478"/>
      <c r="J94" s="35"/>
      <c r="K94" s="478"/>
    </row>
    <row r="95" spans="1:11">
      <c r="A95" s="32"/>
      <c r="B95" s="32"/>
      <c r="C95" s="479"/>
      <c r="D95" s="479"/>
      <c r="E95" s="479"/>
      <c r="F95" s="479"/>
      <c r="G95" s="479"/>
      <c r="H95" s="479"/>
      <c r="I95" s="479"/>
      <c r="J95" s="32"/>
      <c r="K95" s="479"/>
    </row>
    <row r="96" spans="1:11" ht="29.1" customHeight="1">
      <c r="A96" s="715" t="s">
        <v>403</v>
      </c>
      <c r="B96" s="715"/>
      <c r="C96" s="715"/>
      <c r="D96" s="715"/>
      <c r="E96" s="715"/>
      <c r="F96" s="715"/>
      <c r="G96" s="715"/>
      <c r="H96" s="715"/>
      <c r="I96" s="479"/>
      <c r="J96" s="30"/>
      <c r="K96" s="479"/>
    </row>
  </sheetData>
  <mergeCells count="8">
    <mergeCell ref="A2:I2"/>
    <mergeCell ref="A75:J75"/>
    <mergeCell ref="A84:H84"/>
    <mergeCell ref="A96:H96"/>
    <mergeCell ref="A20:O20"/>
    <mergeCell ref="C23:I23"/>
    <mergeCell ref="K23:Q23"/>
    <mergeCell ref="A21:Q21"/>
  </mergeCells>
  <pageMargins left="0.7" right="0.7" top="0.75" bottom="0.75" header="0.3" footer="0.3"/>
  <pageSetup paperSize="9" scale="51" orientation="portrait" r:id="rId1"/>
  <colBreaks count="1" manualBreakCount="1">
    <brk id="10" max="111"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98"/>
  <sheetViews>
    <sheetView view="pageBreakPreview" topLeftCell="A74" zoomScale="80" zoomScaleSheetLayoutView="80" workbookViewId="0">
      <selection activeCell="A9" sqref="A9:G69"/>
    </sheetView>
  </sheetViews>
  <sheetFormatPr defaultRowHeight="15"/>
  <cols>
    <col min="2" max="2" width="15.42578125" customWidth="1"/>
    <col min="3" max="3" width="28.140625" bestFit="1" customWidth="1"/>
    <col min="4" max="4" width="14.7109375" customWidth="1"/>
    <col min="5" max="5" width="25.85546875" bestFit="1" customWidth="1"/>
    <col min="6" max="6" width="12.140625" customWidth="1"/>
    <col min="7" max="7" width="27.28515625" bestFit="1" customWidth="1"/>
    <col min="8" max="8" width="12.28515625" bestFit="1" customWidth="1"/>
    <col min="9" max="9" width="11.7109375" bestFit="1" customWidth="1"/>
  </cols>
  <sheetData>
    <row r="2" spans="1:7" ht="18.75">
      <c r="A2" s="701" t="s">
        <v>501</v>
      </c>
      <c r="B2" s="701"/>
      <c r="C2" s="701"/>
      <c r="D2" s="701"/>
      <c r="E2" s="701"/>
      <c r="F2" s="701"/>
      <c r="G2" s="719"/>
    </row>
    <row r="3" spans="1:7">
      <c r="B3" s="15"/>
      <c r="C3" s="15"/>
      <c r="D3" s="15"/>
      <c r="E3" s="15"/>
      <c r="F3" s="15"/>
      <c r="G3" s="15"/>
    </row>
    <row r="4" spans="1:7">
      <c r="A4" s="79"/>
      <c r="B4" s="79"/>
      <c r="C4" s="79" t="s">
        <v>443</v>
      </c>
      <c r="D4" s="95">
        <f>'1.Project Cost and MOF'!E21</f>
        <v>39.069319800000002</v>
      </c>
      <c r="E4" s="79"/>
      <c r="F4" s="79"/>
      <c r="G4" s="79"/>
    </row>
    <row r="5" spans="1:7">
      <c r="A5" s="79"/>
      <c r="B5" s="79"/>
      <c r="C5" s="79" t="s">
        <v>444</v>
      </c>
      <c r="D5" s="236">
        <v>0.09</v>
      </c>
      <c r="E5" s="79"/>
      <c r="F5" s="79"/>
      <c r="G5" s="79"/>
    </row>
    <row r="6" spans="1:7">
      <c r="A6" s="79"/>
      <c r="B6" s="79"/>
      <c r="C6" s="79" t="s">
        <v>445</v>
      </c>
      <c r="D6" s="237">
        <v>5</v>
      </c>
      <c r="E6" s="79"/>
      <c r="F6" s="79"/>
      <c r="G6" s="79"/>
    </row>
    <row r="7" spans="1:7">
      <c r="A7" s="79"/>
      <c r="B7" s="79"/>
      <c r="C7" s="79" t="s">
        <v>446</v>
      </c>
      <c r="D7" s="237">
        <v>6</v>
      </c>
      <c r="E7" s="79"/>
      <c r="F7" s="79"/>
      <c r="G7" s="79"/>
    </row>
    <row r="8" spans="1:7">
      <c r="A8" s="79"/>
      <c r="B8" s="79"/>
      <c r="C8" s="79" t="s">
        <v>21</v>
      </c>
      <c r="D8" s="174">
        <f>PMT(D5/12,(D6-(D7/12))*12,-D4)</f>
        <v>0.88255153004435294</v>
      </c>
      <c r="E8" s="174"/>
      <c r="F8" s="226"/>
      <c r="G8" s="79"/>
    </row>
    <row r="9" spans="1:7">
      <c r="A9" s="644" t="s">
        <v>280</v>
      </c>
      <c r="B9" s="645" t="s">
        <v>17</v>
      </c>
      <c r="C9" s="645" t="s">
        <v>18</v>
      </c>
      <c r="D9" s="645" t="s">
        <v>19</v>
      </c>
      <c r="E9" s="645" t="s">
        <v>20</v>
      </c>
      <c r="F9" s="645" t="s">
        <v>21</v>
      </c>
      <c r="G9" s="645" t="s">
        <v>22</v>
      </c>
    </row>
    <row r="10" spans="1:7">
      <c r="A10" s="646" t="s">
        <v>10</v>
      </c>
      <c r="B10" s="646" t="s">
        <v>49</v>
      </c>
      <c r="C10" s="646">
        <f>D4</f>
        <v>39.069319800000002</v>
      </c>
      <c r="D10" s="646">
        <f t="shared" ref="D10:D41" si="0">C10*$D$5/12</f>
        <v>0.29301989850000004</v>
      </c>
      <c r="E10" s="646">
        <f t="shared" ref="E10:E15" si="1">F10-D10</f>
        <v>0</v>
      </c>
      <c r="F10" s="646">
        <f>D10</f>
        <v>0.29301989850000004</v>
      </c>
      <c r="G10" s="646">
        <f>C10-E10</f>
        <v>39.069319800000002</v>
      </c>
    </row>
    <row r="11" spans="1:7">
      <c r="A11" s="646"/>
      <c r="B11" s="646" t="s">
        <v>50</v>
      </c>
      <c r="C11" s="646">
        <f>G10</f>
        <v>39.069319800000002</v>
      </c>
      <c r="D11" s="646">
        <f t="shared" si="0"/>
        <v>0.29301989850000004</v>
      </c>
      <c r="E11" s="646">
        <f t="shared" si="1"/>
        <v>0</v>
      </c>
      <c r="F11" s="646">
        <f t="shared" ref="F11:F15" si="2">D11</f>
        <v>0.29301989850000004</v>
      </c>
      <c r="G11" s="646">
        <f t="shared" ref="G11:G57" si="3">C11-E11</f>
        <v>39.069319800000002</v>
      </c>
    </row>
    <row r="12" spans="1:7">
      <c r="A12" s="646"/>
      <c r="B12" s="646" t="s">
        <v>51</v>
      </c>
      <c r="C12" s="646">
        <f t="shared" ref="C12:C57" si="4">G11</f>
        <v>39.069319800000002</v>
      </c>
      <c r="D12" s="646">
        <f t="shared" si="0"/>
        <v>0.29301989850000004</v>
      </c>
      <c r="E12" s="646">
        <f t="shared" si="1"/>
        <v>0</v>
      </c>
      <c r="F12" s="646">
        <f t="shared" si="2"/>
        <v>0.29301989850000004</v>
      </c>
      <c r="G12" s="646">
        <f t="shared" si="3"/>
        <v>39.069319800000002</v>
      </c>
    </row>
    <row r="13" spans="1:7">
      <c r="A13" s="646"/>
      <c r="B13" s="646" t="s">
        <v>52</v>
      </c>
      <c r="C13" s="646">
        <f t="shared" si="4"/>
        <v>39.069319800000002</v>
      </c>
      <c r="D13" s="646">
        <f t="shared" si="0"/>
        <v>0.29301989850000004</v>
      </c>
      <c r="E13" s="646">
        <f t="shared" si="1"/>
        <v>0</v>
      </c>
      <c r="F13" s="646">
        <f t="shared" si="2"/>
        <v>0.29301989850000004</v>
      </c>
      <c r="G13" s="646">
        <f t="shared" si="3"/>
        <v>39.069319800000002</v>
      </c>
    </row>
    <row r="14" spans="1:7">
      <c r="A14" s="646"/>
      <c r="B14" s="646" t="s">
        <v>53</v>
      </c>
      <c r="C14" s="646">
        <f t="shared" si="4"/>
        <v>39.069319800000002</v>
      </c>
      <c r="D14" s="646">
        <f t="shared" si="0"/>
        <v>0.29301989850000004</v>
      </c>
      <c r="E14" s="646">
        <f t="shared" si="1"/>
        <v>0</v>
      </c>
      <c r="F14" s="646">
        <f t="shared" si="2"/>
        <v>0.29301989850000004</v>
      </c>
      <c r="G14" s="646">
        <f t="shared" si="3"/>
        <v>39.069319800000002</v>
      </c>
    </row>
    <row r="15" spans="1:7">
      <c r="A15" s="646"/>
      <c r="B15" s="646" t="s">
        <v>54</v>
      </c>
      <c r="C15" s="646">
        <f t="shared" si="4"/>
        <v>39.069319800000002</v>
      </c>
      <c r="D15" s="646">
        <f t="shared" si="0"/>
        <v>0.29301989850000004</v>
      </c>
      <c r="E15" s="646">
        <f t="shared" si="1"/>
        <v>0</v>
      </c>
      <c r="F15" s="646">
        <f t="shared" si="2"/>
        <v>0.29301989850000004</v>
      </c>
      <c r="G15" s="646">
        <f t="shared" si="3"/>
        <v>39.069319800000002</v>
      </c>
    </row>
    <row r="16" spans="1:7">
      <c r="A16" s="646"/>
      <c r="B16" s="646" t="s">
        <v>55</v>
      </c>
      <c r="C16" s="646">
        <f t="shared" si="4"/>
        <v>39.069319800000002</v>
      </c>
      <c r="D16" s="646">
        <f t="shared" si="0"/>
        <v>0.29301989850000004</v>
      </c>
      <c r="E16" s="646">
        <f>F16-D16</f>
        <v>0.58953163154435284</v>
      </c>
      <c r="F16" s="646">
        <f t="shared" ref="F16:F69" si="5">$D$8</f>
        <v>0.88255153004435294</v>
      </c>
      <c r="G16" s="646">
        <f t="shared" si="3"/>
        <v>38.479788168455649</v>
      </c>
    </row>
    <row r="17" spans="1:9">
      <c r="A17" s="646"/>
      <c r="B17" s="646" t="s">
        <v>56</v>
      </c>
      <c r="C17" s="646">
        <f t="shared" si="4"/>
        <v>38.479788168455649</v>
      </c>
      <c r="D17" s="646">
        <f t="shared" si="0"/>
        <v>0.28859841126341734</v>
      </c>
      <c r="E17" s="646">
        <f t="shared" ref="E17:E57" si="6">F17-D17</f>
        <v>0.5939531187809356</v>
      </c>
      <c r="F17" s="646">
        <f t="shared" si="5"/>
        <v>0.88255153004435294</v>
      </c>
      <c r="G17" s="646">
        <f t="shared" si="3"/>
        <v>37.885835049674711</v>
      </c>
    </row>
    <row r="18" spans="1:9">
      <c r="A18" s="646"/>
      <c r="B18" s="646" t="s">
        <v>57</v>
      </c>
      <c r="C18" s="646">
        <f t="shared" si="4"/>
        <v>37.885835049674711</v>
      </c>
      <c r="D18" s="646">
        <f t="shared" si="0"/>
        <v>0.28414376287256032</v>
      </c>
      <c r="E18" s="646">
        <f t="shared" si="6"/>
        <v>0.59840776717179267</v>
      </c>
      <c r="F18" s="646">
        <f t="shared" si="5"/>
        <v>0.88255153004435294</v>
      </c>
      <c r="G18" s="646">
        <f t="shared" si="3"/>
        <v>37.287427282502918</v>
      </c>
    </row>
    <row r="19" spans="1:9">
      <c r="A19" s="646"/>
      <c r="B19" s="646" t="s">
        <v>58</v>
      </c>
      <c r="C19" s="646">
        <f t="shared" si="4"/>
        <v>37.287427282502918</v>
      </c>
      <c r="D19" s="646">
        <f t="shared" si="0"/>
        <v>0.27965570461877187</v>
      </c>
      <c r="E19" s="646">
        <f t="shared" si="6"/>
        <v>0.60289582542558107</v>
      </c>
      <c r="F19" s="646">
        <f t="shared" si="5"/>
        <v>0.88255153004435294</v>
      </c>
      <c r="G19" s="646">
        <f t="shared" si="3"/>
        <v>36.684531457077334</v>
      </c>
    </row>
    <row r="20" spans="1:9">
      <c r="A20" s="646"/>
      <c r="B20" s="646" t="s">
        <v>59</v>
      </c>
      <c r="C20" s="646">
        <f t="shared" si="4"/>
        <v>36.684531457077334</v>
      </c>
      <c r="D20" s="646">
        <f t="shared" si="0"/>
        <v>0.27513398592807997</v>
      </c>
      <c r="E20" s="646">
        <f t="shared" si="6"/>
        <v>0.60741754411627302</v>
      </c>
      <c r="F20" s="646">
        <f t="shared" si="5"/>
        <v>0.88255153004435294</v>
      </c>
      <c r="G20" s="646">
        <f t="shared" si="3"/>
        <v>36.07711391296106</v>
      </c>
    </row>
    <row r="21" spans="1:9">
      <c r="A21" s="646"/>
      <c r="B21" s="646" t="s">
        <v>60</v>
      </c>
      <c r="C21" s="646">
        <f t="shared" si="4"/>
        <v>36.07711391296106</v>
      </c>
      <c r="D21" s="646">
        <f t="shared" si="0"/>
        <v>0.27057835434720795</v>
      </c>
      <c r="E21" s="646">
        <f t="shared" si="6"/>
        <v>0.61197317569714493</v>
      </c>
      <c r="F21" s="646">
        <f t="shared" si="5"/>
        <v>0.88255153004435294</v>
      </c>
      <c r="G21" s="646">
        <f t="shared" si="3"/>
        <v>35.465140737263916</v>
      </c>
      <c r="H21" s="1"/>
      <c r="I21" s="1"/>
    </row>
    <row r="22" spans="1:9">
      <c r="A22" s="646" t="s">
        <v>11</v>
      </c>
      <c r="B22" s="646" t="s">
        <v>61</v>
      </c>
      <c r="C22" s="646">
        <f t="shared" si="4"/>
        <v>35.465140737263916</v>
      </c>
      <c r="D22" s="646">
        <f t="shared" si="0"/>
        <v>0.26598855552947936</v>
      </c>
      <c r="E22" s="646">
        <f t="shared" si="6"/>
        <v>0.61656297451487352</v>
      </c>
      <c r="F22" s="646">
        <f t="shared" si="5"/>
        <v>0.88255153004435294</v>
      </c>
      <c r="G22" s="646">
        <f t="shared" si="3"/>
        <v>34.848577762749045</v>
      </c>
    </row>
    <row r="23" spans="1:9">
      <c r="A23" s="646"/>
      <c r="B23" s="646" t="s">
        <v>62</v>
      </c>
      <c r="C23" s="646">
        <f t="shared" si="4"/>
        <v>34.848577762749045</v>
      </c>
      <c r="D23" s="646">
        <f t="shared" si="0"/>
        <v>0.26136433322061786</v>
      </c>
      <c r="E23" s="646">
        <f t="shared" si="6"/>
        <v>0.62118719682373502</v>
      </c>
      <c r="F23" s="646">
        <f t="shared" si="5"/>
        <v>0.88255153004435294</v>
      </c>
      <c r="G23" s="646">
        <f t="shared" si="3"/>
        <v>34.227390565925312</v>
      </c>
    </row>
    <row r="24" spans="1:9">
      <c r="A24" s="646"/>
      <c r="B24" s="646" t="s">
        <v>63</v>
      </c>
      <c r="C24" s="646">
        <f t="shared" si="4"/>
        <v>34.227390565925312</v>
      </c>
      <c r="D24" s="646">
        <f t="shared" si="0"/>
        <v>0.25670542924443984</v>
      </c>
      <c r="E24" s="646">
        <f t="shared" si="6"/>
        <v>0.6258461007999131</v>
      </c>
      <c r="F24" s="646">
        <f t="shared" si="5"/>
        <v>0.88255153004435294</v>
      </c>
      <c r="G24" s="646">
        <f t="shared" si="3"/>
        <v>33.6015444651254</v>
      </c>
    </row>
    <row r="25" spans="1:9">
      <c r="A25" s="646"/>
      <c r="B25" s="646" t="s">
        <v>64</v>
      </c>
      <c r="C25" s="646">
        <f t="shared" si="4"/>
        <v>33.6015444651254</v>
      </c>
      <c r="D25" s="646">
        <f t="shared" si="0"/>
        <v>0.25201158348844049</v>
      </c>
      <c r="E25" s="646">
        <f t="shared" si="6"/>
        <v>0.6305399465559125</v>
      </c>
      <c r="F25" s="646">
        <f t="shared" si="5"/>
        <v>0.88255153004435294</v>
      </c>
      <c r="G25" s="646">
        <f t="shared" si="3"/>
        <v>32.971004518569487</v>
      </c>
    </row>
    <row r="26" spans="1:9">
      <c r="A26" s="646"/>
      <c r="B26" s="646" t="s">
        <v>65</v>
      </c>
      <c r="C26" s="646">
        <f t="shared" si="4"/>
        <v>32.971004518569487</v>
      </c>
      <c r="D26" s="646">
        <f t="shared" si="0"/>
        <v>0.24728253388927113</v>
      </c>
      <c r="E26" s="646">
        <f t="shared" si="6"/>
        <v>0.63526899615508181</v>
      </c>
      <c r="F26" s="646">
        <f t="shared" si="5"/>
        <v>0.88255153004435294</v>
      </c>
      <c r="G26" s="646">
        <f t="shared" si="3"/>
        <v>32.335735522414403</v>
      </c>
    </row>
    <row r="27" spans="1:9">
      <c r="A27" s="646"/>
      <c r="B27" s="646" t="s">
        <v>66</v>
      </c>
      <c r="C27" s="646">
        <f t="shared" si="4"/>
        <v>32.335735522414403</v>
      </c>
      <c r="D27" s="646">
        <f t="shared" si="0"/>
        <v>0.242518016418108</v>
      </c>
      <c r="E27" s="646">
        <f t="shared" si="6"/>
        <v>0.64003351362624494</v>
      </c>
      <c r="F27" s="646">
        <f t="shared" si="5"/>
        <v>0.88255153004435294</v>
      </c>
      <c r="G27" s="646">
        <f t="shared" si="3"/>
        <v>31.695702008788157</v>
      </c>
    </row>
    <row r="28" spans="1:9">
      <c r="A28" s="646"/>
      <c r="B28" s="646" t="s">
        <v>67</v>
      </c>
      <c r="C28" s="646">
        <f t="shared" si="4"/>
        <v>31.695702008788157</v>
      </c>
      <c r="D28" s="646">
        <f t="shared" si="0"/>
        <v>0.23771776506591116</v>
      </c>
      <c r="E28" s="646">
        <f t="shared" si="6"/>
        <v>0.6448337649784418</v>
      </c>
      <c r="F28" s="646">
        <f t="shared" si="5"/>
        <v>0.88255153004435294</v>
      </c>
      <c r="G28" s="646">
        <f t="shared" si="3"/>
        <v>31.050868243809713</v>
      </c>
    </row>
    <row r="29" spans="1:9">
      <c r="A29" s="646"/>
      <c r="B29" s="646" t="s">
        <v>68</v>
      </c>
      <c r="C29" s="646">
        <f t="shared" si="4"/>
        <v>31.050868243809713</v>
      </c>
      <c r="D29" s="646">
        <f t="shared" si="0"/>
        <v>0.23288151182857283</v>
      </c>
      <c r="E29" s="646">
        <f t="shared" si="6"/>
        <v>0.64967001821578008</v>
      </c>
      <c r="F29" s="646">
        <f t="shared" si="5"/>
        <v>0.88255153004435294</v>
      </c>
      <c r="G29" s="646">
        <f t="shared" si="3"/>
        <v>30.401198225593934</v>
      </c>
    </row>
    <row r="30" spans="1:9">
      <c r="A30" s="646"/>
      <c r="B30" s="646" t="s">
        <v>69</v>
      </c>
      <c r="C30" s="646">
        <f t="shared" si="4"/>
        <v>30.401198225593934</v>
      </c>
      <c r="D30" s="646">
        <f t="shared" si="0"/>
        <v>0.22800898669195449</v>
      </c>
      <c r="E30" s="646">
        <f t="shared" si="6"/>
        <v>0.65454254335239848</v>
      </c>
      <c r="F30" s="646">
        <f t="shared" si="5"/>
        <v>0.88255153004435294</v>
      </c>
      <c r="G30" s="646">
        <f t="shared" si="3"/>
        <v>29.746655682241535</v>
      </c>
    </row>
    <row r="31" spans="1:9">
      <c r="A31" s="646"/>
      <c r="B31" s="646" t="s">
        <v>70</v>
      </c>
      <c r="C31" s="646">
        <f t="shared" si="4"/>
        <v>29.746655682241535</v>
      </c>
      <c r="D31" s="646">
        <f t="shared" si="0"/>
        <v>0.2230999176168115</v>
      </c>
      <c r="E31" s="646">
        <f t="shared" si="6"/>
        <v>0.65945161242754147</v>
      </c>
      <c r="F31" s="646">
        <f t="shared" si="5"/>
        <v>0.88255153004435294</v>
      </c>
      <c r="G31" s="646">
        <f t="shared" si="3"/>
        <v>29.087204069813993</v>
      </c>
    </row>
    <row r="32" spans="1:9">
      <c r="A32" s="646"/>
      <c r="B32" s="646" t="s">
        <v>71</v>
      </c>
      <c r="C32" s="646">
        <f t="shared" si="4"/>
        <v>29.087204069813993</v>
      </c>
      <c r="D32" s="646">
        <f t="shared" si="0"/>
        <v>0.21815403052360494</v>
      </c>
      <c r="E32" s="646">
        <f t="shared" si="6"/>
        <v>0.664397499520748</v>
      </c>
      <c r="F32" s="646">
        <f t="shared" si="5"/>
        <v>0.88255153004435294</v>
      </c>
      <c r="G32" s="646">
        <f t="shared" si="3"/>
        <v>28.422806570293243</v>
      </c>
    </row>
    <row r="33" spans="1:9">
      <c r="A33" s="646"/>
      <c r="B33" s="646" t="s">
        <v>72</v>
      </c>
      <c r="C33" s="646">
        <f t="shared" si="4"/>
        <v>28.422806570293243</v>
      </c>
      <c r="D33" s="646">
        <f t="shared" si="0"/>
        <v>0.21317104927719932</v>
      </c>
      <c r="E33" s="646">
        <f t="shared" si="6"/>
        <v>0.66938048076715362</v>
      </c>
      <c r="F33" s="646">
        <f t="shared" si="5"/>
        <v>0.88255153004435294</v>
      </c>
      <c r="G33" s="646">
        <f t="shared" si="3"/>
        <v>27.753426089526091</v>
      </c>
      <c r="H33" s="1"/>
      <c r="I33" s="1"/>
    </row>
    <row r="34" spans="1:9">
      <c r="A34" s="646" t="s">
        <v>12</v>
      </c>
      <c r="B34" s="646" t="s">
        <v>73</v>
      </c>
      <c r="C34" s="646">
        <f t="shared" si="4"/>
        <v>27.753426089526091</v>
      </c>
      <c r="D34" s="646">
        <f t="shared" si="0"/>
        <v>0.20815069567144565</v>
      </c>
      <c r="E34" s="646">
        <f t="shared" si="6"/>
        <v>0.67440083437290732</v>
      </c>
      <c r="F34" s="646">
        <f t="shared" si="5"/>
        <v>0.88255153004435294</v>
      </c>
      <c r="G34" s="646">
        <f t="shared" si="3"/>
        <v>27.079025255153184</v>
      </c>
    </row>
    <row r="35" spans="1:9">
      <c r="A35" s="646"/>
      <c r="B35" s="646" t="s">
        <v>74</v>
      </c>
      <c r="C35" s="646">
        <f t="shared" si="4"/>
        <v>27.079025255153184</v>
      </c>
      <c r="D35" s="646">
        <f t="shared" si="0"/>
        <v>0.20309268941364889</v>
      </c>
      <c r="E35" s="646">
        <f t="shared" si="6"/>
        <v>0.67945884063070405</v>
      </c>
      <c r="F35" s="646">
        <f t="shared" si="5"/>
        <v>0.88255153004435294</v>
      </c>
      <c r="G35" s="646">
        <f t="shared" si="3"/>
        <v>26.399566414522479</v>
      </c>
    </row>
    <row r="36" spans="1:9">
      <c r="A36" s="646"/>
      <c r="B36" s="646" t="s">
        <v>75</v>
      </c>
      <c r="C36" s="646">
        <f t="shared" si="4"/>
        <v>26.399566414522479</v>
      </c>
      <c r="D36" s="646">
        <f t="shared" si="0"/>
        <v>0.19799674810891857</v>
      </c>
      <c r="E36" s="646">
        <f t="shared" si="6"/>
        <v>0.6845547819354344</v>
      </c>
      <c r="F36" s="646">
        <f t="shared" si="5"/>
        <v>0.88255153004435294</v>
      </c>
      <c r="G36" s="646">
        <f t="shared" si="3"/>
        <v>25.715011632587043</v>
      </c>
    </row>
    <row r="37" spans="1:9">
      <c r="A37" s="646"/>
      <c r="B37" s="646" t="s">
        <v>76</v>
      </c>
      <c r="C37" s="646">
        <f t="shared" si="4"/>
        <v>25.715011632587043</v>
      </c>
      <c r="D37" s="646">
        <f t="shared" si="0"/>
        <v>0.19286258724440283</v>
      </c>
      <c r="E37" s="646">
        <f t="shared" si="6"/>
        <v>0.68968894279995008</v>
      </c>
      <c r="F37" s="646">
        <f t="shared" si="5"/>
        <v>0.88255153004435294</v>
      </c>
      <c r="G37" s="646">
        <f t="shared" si="3"/>
        <v>25.025322689787092</v>
      </c>
    </row>
    <row r="38" spans="1:9">
      <c r="A38" s="646"/>
      <c r="B38" s="646" t="s">
        <v>77</v>
      </c>
      <c r="C38" s="646">
        <f t="shared" si="4"/>
        <v>25.025322689787092</v>
      </c>
      <c r="D38" s="646">
        <f t="shared" si="0"/>
        <v>0.18768992017340316</v>
      </c>
      <c r="E38" s="646">
        <f t="shared" si="6"/>
        <v>0.6948616098709498</v>
      </c>
      <c r="F38" s="646">
        <f t="shared" si="5"/>
        <v>0.88255153004435294</v>
      </c>
      <c r="G38" s="646">
        <f t="shared" si="3"/>
        <v>24.330461079916141</v>
      </c>
    </row>
    <row r="39" spans="1:9">
      <c r="A39" s="646"/>
      <c r="B39" s="646" t="s">
        <v>78</v>
      </c>
      <c r="C39" s="646">
        <f t="shared" si="4"/>
        <v>24.330461079916141</v>
      </c>
      <c r="D39" s="646">
        <f t="shared" si="0"/>
        <v>0.18247845809937105</v>
      </c>
      <c r="E39" s="646">
        <f t="shared" si="6"/>
        <v>0.70007307194498192</v>
      </c>
      <c r="F39" s="646">
        <f t="shared" si="5"/>
        <v>0.88255153004435294</v>
      </c>
      <c r="G39" s="646">
        <f t="shared" si="3"/>
        <v>23.63038800797116</v>
      </c>
    </row>
    <row r="40" spans="1:9">
      <c r="A40" s="646"/>
      <c r="B40" s="646" t="s">
        <v>79</v>
      </c>
      <c r="C40" s="646">
        <f t="shared" si="4"/>
        <v>23.63038800797116</v>
      </c>
      <c r="D40" s="646">
        <f t="shared" si="0"/>
        <v>0.17722791005978369</v>
      </c>
      <c r="E40" s="646">
        <f t="shared" si="6"/>
        <v>0.70532361998456927</v>
      </c>
      <c r="F40" s="646">
        <f t="shared" si="5"/>
        <v>0.88255153004435294</v>
      </c>
      <c r="G40" s="646">
        <f t="shared" si="3"/>
        <v>22.925064387986591</v>
      </c>
    </row>
    <row r="41" spans="1:9">
      <c r="A41" s="646"/>
      <c r="B41" s="646" t="s">
        <v>80</v>
      </c>
      <c r="C41" s="646">
        <f t="shared" si="4"/>
        <v>22.925064387986591</v>
      </c>
      <c r="D41" s="646">
        <f t="shared" si="0"/>
        <v>0.17193798290989945</v>
      </c>
      <c r="E41" s="646">
        <f t="shared" si="6"/>
        <v>0.71061354713445346</v>
      </c>
      <c r="F41" s="646">
        <f t="shared" si="5"/>
        <v>0.88255153004435294</v>
      </c>
      <c r="G41" s="646">
        <f t="shared" si="3"/>
        <v>22.214450840852138</v>
      </c>
    </row>
    <row r="42" spans="1:9">
      <c r="A42" s="646"/>
      <c r="B42" s="646" t="s">
        <v>81</v>
      </c>
      <c r="C42" s="646">
        <f t="shared" si="4"/>
        <v>22.214450840852138</v>
      </c>
      <c r="D42" s="646">
        <f t="shared" ref="D42:D57" si="7">C42*$D$5/12</f>
        <v>0.16660838130639102</v>
      </c>
      <c r="E42" s="646">
        <f t="shared" si="6"/>
        <v>0.71594314873796194</v>
      </c>
      <c r="F42" s="646">
        <f t="shared" si="5"/>
        <v>0.88255153004435294</v>
      </c>
      <c r="G42" s="646">
        <f t="shared" si="3"/>
        <v>21.498507692114174</v>
      </c>
    </row>
    <row r="43" spans="1:9">
      <c r="A43" s="646"/>
      <c r="B43" s="646" t="s">
        <v>82</v>
      </c>
      <c r="C43" s="646">
        <f t="shared" si="4"/>
        <v>21.498507692114174</v>
      </c>
      <c r="D43" s="646">
        <f t="shared" si="7"/>
        <v>0.1612388076908563</v>
      </c>
      <c r="E43" s="646">
        <f t="shared" si="6"/>
        <v>0.72131272235349664</v>
      </c>
      <c r="F43" s="646">
        <f t="shared" si="5"/>
        <v>0.88255153004435294</v>
      </c>
      <c r="G43" s="646">
        <f t="shared" si="3"/>
        <v>20.777194969760679</v>
      </c>
    </row>
    <row r="44" spans="1:9">
      <c r="A44" s="646"/>
      <c r="B44" s="646" t="s">
        <v>83</v>
      </c>
      <c r="C44" s="646">
        <f t="shared" si="4"/>
        <v>20.777194969760679</v>
      </c>
      <c r="D44" s="646">
        <f t="shared" si="7"/>
        <v>0.15582896227320508</v>
      </c>
      <c r="E44" s="646">
        <f t="shared" si="6"/>
        <v>0.72672256777114785</v>
      </c>
      <c r="F44" s="646">
        <f t="shared" si="5"/>
        <v>0.88255153004435294</v>
      </c>
      <c r="G44" s="646">
        <f t="shared" si="3"/>
        <v>20.050472401989531</v>
      </c>
    </row>
    <row r="45" spans="1:9">
      <c r="A45" s="646"/>
      <c r="B45" s="646" t="s">
        <v>84</v>
      </c>
      <c r="C45" s="646">
        <f t="shared" si="4"/>
        <v>20.050472401989531</v>
      </c>
      <c r="D45" s="646">
        <f t="shared" si="7"/>
        <v>0.15037854301492146</v>
      </c>
      <c r="E45" s="646">
        <f t="shared" si="6"/>
        <v>0.73217298702943145</v>
      </c>
      <c r="F45" s="646">
        <f t="shared" si="5"/>
        <v>0.88255153004435294</v>
      </c>
      <c r="G45" s="646">
        <f t="shared" si="3"/>
        <v>19.318299414960098</v>
      </c>
      <c r="H45" s="1"/>
      <c r="I45" s="1"/>
    </row>
    <row r="46" spans="1:9">
      <c r="A46" s="646" t="s">
        <v>13</v>
      </c>
      <c r="B46" s="646" t="s">
        <v>85</v>
      </c>
      <c r="C46" s="646">
        <f t="shared" si="4"/>
        <v>19.318299414960098</v>
      </c>
      <c r="D46" s="646">
        <f t="shared" si="7"/>
        <v>0.14488724561220073</v>
      </c>
      <c r="E46" s="646">
        <f t="shared" si="6"/>
        <v>0.73766428443215215</v>
      </c>
      <c r="F46" s="646">
        <f t="shared" si="5"/>
        <v>0.88255153004435294</v>
      </c>
      <c r="G46" s="646">
        <f t="shared" si="3"/>
        <v>18.580635130527945</v>
      </c>
    </row>
    <row r="47" spans="1:9">
      <c r="A47" s="646"/>
      <c r="B47" s="646" t="s">
        <v>86</v>
      </c>
      <c r="C47" s="646">
        <f t="shared" si="4"/>
        <v>18.580635130527945</v>
      </c>
      <c r="D47" s="646">
        <f t="shared" si="7"/>
        <v>0.13935476347895959</v>
      </c>
      <c r="E47" s="646">
        <f t="shared" si="6"/>
        <v>0.74319676656539335</v>
      </c>
      <c r="F47" s="646">
        <f t="shared" si="5"/>
        <v>0.88255153004435294</v>
      </c>
      <c r="G47" s="646">
        <f t="shared" si="3"/>
        <v>17.837438363962551</v>
      </c>
    </row>
    <row r="48" spans="1:9">
      <c r="A48" s="646"/>
      <c r="B48" s="646" t="s">
        <v>87</v>
      </c>
      <c r="C48" s="646">
        <f t="shared" si="4"/>
        <v>17.837438363962551</v>
      </c>
      <c r="D48" s="646">
        <f t="shared" si="7"/>
        <v>0.13378078772971913</v>
      </c>
      <c r="E48" s="646">
        <f t="shared" si="6"/>
        <v>0.74877074231463381</v>
      </c>
      <c r="F48" s="646">
        <f t="shared" si="5"/>
        <v>0.88255153004435294</v>
      </c>
      <c r="G48" s="646">
        <f t="shared" si="3"/>
        <v>17.088667621647918</v>
      </c>
    </row>
    <row r="49" spans="1:9">
      <c r="A49" s="646"/>
      <c r="B49" s="646" t="s">
        <v>88</v>
      </c>
      <c r="C49" s="646">
        <f t="shared" si="4"/>
        <v>17.088667621647918</v>
      </c>
      <c r="D49" s="646">
        <f t="shared" si="7"/>
        <v>0.12816500716235937</v>
      </c>
      <c r="E49" s="646">
        <f t="shared" si="6"/>
        <v>0.75438652288199359</v>
      </c>
      <c r="F49" s="646">
        <f t="shared" si="5"/>
        <v>0.88255153004435294</v>
      </c>
      <c r="G49" s="646">
        <f t="shared" si="3"/>
        <v>16.334281098765924</v>
      </c>
    </row>
    <row r="50" spans="1:9">
      <c r="A50" s="646"/>
      <c r="B50" s="646" t="s">
        <v>89</v>
      </c>
      <c r="C50" s="646">
        <f t="shared" si="4"/>
        <v>16.334281098765924</v>
      </c>
      <c r="D50" s="646">
        <f t="shared" si="7"/>
        <v>0.12250710824074441</v>
      </c>
      <c r="E50" s="646">
        <f t="shared" si="6"/>
        <v>0.76004442180360854</v>
      </c>
      <c r="F50" s="646">
        <f t="shared" si="5"/>
        <v>0.88255153004435294</v>
      </c>
      <c r="G50" s="646">
        <f t="shared" si="3"/>
        <v>15.574236676962316</v>
      </c>
    </row>
    <row r="51" spans="1:9">
      <c r="A51" s="646"/>
      <c r="B51" s="646" t="s">
        <v>90</v>
      </c>
      <c r="C51" s="646">
        <f t="shared" si="4"/>
        <v>15.574236676962316</v>
      </c>
      <c r="D51" s="646">
        <f t="shared" si="7"/>
        <v>0.11680677507721737</v>
      </c>
      <c r="E51" s="646">
        <f t="shared" si="6"/>
        <v>0.76574475496713557</v>
      </c>
      <c r="F51" s="646">
        <f t="shared" si="5"/>
        <v>0.88255153004435294</v>
      </c>
      <c r="G51" s="646">
        <f t="shared" si="3"/>
        <v>14.808491921995181</v>
      </c>
    </row>
    <row r="52" spans="1:9">
      <c r="A52" s="646"/>
      <c r="B52" s="646" t="s">
        <v>91</v>
      </c>
      <c r="C52" s="646">
        <f t="shared" si="4"/>
        <v>14.808491921995181</v>
      </c>
      <c r="D52" s="646">
        <f t="shared" si="7"/>
        <v>0.11106368941496385</v>
      </c>
      <c r="E52" s="646">
        <f t="shared" si="6"/>
        <v>0.77148784062938913</v>
      </c>
      <c r="F52" s="646">
        <f t="shared" si="5"/>
        <v>0.88255153004435294</v>
      </c>
      <c r="G52" s="646">
        <f t="shared" si="3"/>
        <v>14.037004081365792</v>
      </c>
    </row>
    <row r="53" spans="1:9">
      <c r="A53" s="646"/>
      <c r="B53" s="646" t="s">
        <v>92</v>
      </c>
      <c r="C53" s="646">
        <f t="shared" si="4"/>
        <v>14.037004081365792</v>
      </c>
      <c r="D53" s="646">
        <f t="shared" si="7"/>
        <v>0.10527753061024343</v>
      </c>
      <c r="E53" s="646">
        <f t="shared" si="6"/>
        <v>0.77727399943410946</v>
      </c>
      <c r="F53" s="646">
        <f t="shared" si="5"/>
        <v>0.88255153004435294</v>
      </c>
      <c r="G53" s="646">
        <f t="shared" si="3"/>
        <v>13.259730081931682</v>
      </c>
    </row>
    <row r="54" spans="1:9">
      <c r="A54" s="646"/>
      <c r="B54" s="646" t="s">
        <v>93</v>
      </c>
      <c r="C54" s="646">
        <f t="shared" si="4"/>
        <v>13.259730081931682</v>
      </c>
      <c r="D54" s="646">
        <f t="shared" si="7"/>
        <v>9.9447975614487608E-2</v>
      </c>
      <c r="E54" s="646">
        <f t="shared" si="6"/>
        <v>0.78310355442986535</v>
      </c>
      <c r="F54" s="646">
        <f t="shared" si="5"/>
        <v>0.88255153004435294</v>
      </c>
      <c r="G54" s="646">
        <f t="shared" si="3"/>
        <v>12.476626527501816</v>
      </c>
    </row>
    <row r="55" spans="1:9">
      <c r="A55" s="646"/>
      <c r="B55" s="646" t="s">
        <v>94</v>
      </c>
      <c r="C55" s="646">
        <f t="shared" si="4"/>
        <v>12.476626527501816</v>
      </c>
      <c r="D55" s="646">
        <f t="shared" si="7"/>
        <v>9.3574698956263622E-2</v>
      </c>
      <c r="E55" s="646">
        <f t="shared" si="6"/>
        <v>0.78897683108808936</v>
      </c>
      <c r="F55" s="646">
        <f t="shared" si="5"/>
        <v>0.88255153004435294</v>
      </c>
      <c r="G55" s="646">
        <f t="shared" si="3"/>
        <v>11.687649696413727</v>
      </c>
    </row>
    <row r="56" spans="1:9">
      <c r="A56" s="646"/>
      <c r="B56" s="646" t="s">
        <v>95</v>
      </c>
      <c r="C56" s="646">
        <f t="shared" si="4"/>
        <v>11.687649696413727</v>
      </c>
      <c r="D56" s="646">
        <f t="shared" si="7"/>
        <v>8.7657372723102964E-2</v>
      </c>
      <c r="E56" s="646">
        <f t="shared" si="6"/>
        <v>0.79489415732125002</v>
      </c>
      <c r="F56" s="646">
        <f t="shared" si="5"/>
        <v>0.88255153004435294</v>
      </c>
      <c r="G56" s="646">
        <f t="shared" si="3"/>
        <v>10.892755539092477</v>
      </c>
    </row>
    <row r="57" spans="1:9">
      <c r="A57" s="646"/>
      <c r="B57" s="646" t="s">
        <v>96</v>
      </c>
      <c r="C57" s="646">
        <f t="shared" si="4"/>
        <v>10.892755539092477</v>
      </c>
      <c r="D57" s="646">
        <f t="shared" si="7"/>
        <v>8.1695666543193574E-2</v>
      </c>
      <c r="E57" s="646">
        <f t="shared" si="6"/>
        <v>0.80085586350115934</v>
      </c>
      <c r="F57" s="646">
        <f t="shared" si="5"/>
        <v>0.88255153004435294</v>
      </c>
      <c r="G57" s="646">
        <f t="shared" si="3"/>
        <v>10.091899675591318</v>
      </c>
      <c r="H57" s="1"/>
      <c r="I57" s="1"/>
    </row>
    <row r="58" spans="1:9">
      <c r="A58" s="646" t="s">
        <v>14</v>
      </c>
      <c r="B58" s="646" t="s">
        <v>97</v>
      </c>
      <c r="C58" s="646">
        <f t="shared" ref="C58:C69" si="8">G57</f>
        <v>10.091899675591318</v>
      </c>
      <c r="D58" s="646">
        <f t="shared" ref="D58:D69" si="9">C58*$D$5/12</f>
        <v>7.5689247566934889E-2</v>
      </c>
      <c r="E58" s="646">
        <f t="shared" ref="E58:E69" si="10">F58-D58</f>
        <v>0.80686228247741809</v>
      </c>
      <c r="F58" s="646">
        <f t="shared" si="5"/>
        <v>0.88255153004435294</v>
      </c>
      <c r="G58" s="646">
        <f t="shared" ref="G58:G69" si="11">C58-E58</f>
        <v>9.2850373931138996</v>
      </c>
    </row>
    <row r="59" spans="1:9">
      <c r="A59" s="646"/>
      <c r="B59" s="646" t="s">
        <v>98</v>
      </c>
      <c r="C59" s="646">
        <f t="shared" si="8"/>
        <v>9.2850373931138996</v>
      </c>
      <c r="D59" s="646">
        <f t="shared" si="9"/>
        <v>6.9637780448354239E-2</v>
      </c>
      <c r="E59" s="646">
        <f t="shared" si="10"/>
        <v>0.81291374959599871</v>
      </c>
      <c r="F59" s="646">
        <f t="shared" si="5"/>
        <v>0.88255153004435294</v>
      </c>
      <c r="G59" s="646">
        <f t="shared" si="11"/>
        <v>8.4721236435179001</v>
      </c>
    </row>
    <row r="60" spans="1:9">
      <c r="A60" s="646"/>
      <c r="B60" s="646" t="s">
        <v>99</v>
      </c>
      <c r="C60" s="646">
        <f t="shared" si="8"/>
        <v>8.4721236435179001</v>
      </c>
      <c r="D60" s="646">
        <f t="shared" si="9"/>
        <v>6.354092732638425E-2</v>
      </c>
      <c r="E60" s="646">
        <f t="shared" si="10"/>
        <v>0.81901060271796866</v>
      </c>
      <c r="F60" s="646">
        <f t="shared" si="5"/>
        <v>0.88255153004435294</v>
      </c>
      <c r="G60" s="646">
        <f t="shared" si="11"/>
        <v>7.6531130407999317</v>
      </c>
    </row>
    <row r="61" spans="1:9">
      <c r="A61" s="646"/>
      <c r="B61" s="646" t="s">
        <v>100</v>
      </c>
      <c r="C61" s="646">
        <f t="shared" si="8"/>
        <v>7.6531130407999317</v>
      </c>
      <c r="D61" s="646">
        <f t="shared" si="9"/>
        <v>5.7398347805999485E-2</v>
      </c>
      <c r="E61" s="646">
        <f t="shared" si="10"/>
        <v>0.82515318223835343</v>
      </c>
      <c r="F61" s="646">
        <f t="shared" si="5"/>
        <v>0.88255153004435294</v>
      </c>
      <c r="G61" s="646">
        <f t="shared" si="11"/>
        <v>6.8279598585615782</v>
      </c>
    </row>
    <row r="62" spans="1:9">
      <c r="A62" s="646"/>
      <c r="B62" s="646" t="s">
        <v>101</v>
      </c>
      <c r="C62" s="646">
        <f t="shared" si="8"/>
        <v>6.8279598585615782</v>
      </c>
      <c r="D62" s="646">
        <f t="shared" si="9"/>
        <v>5.1209698939211838E-2</v>
      </c>
      <c r="E62" s="646">
        <f t="shared" si="10"/>
        <v>0.83134183110514115</v>
      </c>
      <c r="F62" s="646">
        <f t="shared" si="5"/>
        <v>0.88255153004435294</v>
      </c>
      <c r="G62" s="646">
        <f t="shared" si="11"/>
        <v>5.9966180274564369</v>
      </c>
    </row>
    <row r="63" spans="1:9">
      <c r="A63" s="646"/>
      <c r="B63" s="646" t="s">
        <v>102</v>
      </c>
      <c r="C63" s="646">
        <f t="shared" si="8"/>
        <v>5.9966180274564369</v>
      </c>
      <c r="D63" s="646">
        <f t="shared" si="9"/>
        <v>4.497463520592327E-2</v>
      </c>
      <c r="E63" s="646">
        <f t="shared" si="10"/>
        <v>0.83757689483842968</v>
      </c>
      <c r="F63" s="646">
        <f t="shared" si="5"/>
        <v>0.88255153004435294</v>
      </c>
      <c r="G63" s="646">
        <f t="shared" si="11"/>
        <v>5.1590411326180075</v>
      </c>
    </row>
    <row r="64" spans="1:9">
      <c r="A64" s="646"/>
      <c r="B64" s="646" t="s">
        <v>103</v>
      </c>
      <c r="C64" s="646">
        <f t="shared" si="8"/>
        <v>5.1590411326180075</v>
      </c>
      <c r="D64" s="646">
        <f t="shared" si="9"/>
        <v>3.8692808494635057E-2</v>
      </c>
      <c r="E64" s="646">
        <f t="shared" si="10"/>
        <v>0.84385872154971786</v>
      </c>
      <c r="F64" s="646">
        <f t="shared" si="5"/>
        <v>0.88255153004435294</v>
      </c>
      <c r="G64" s="646">
        <f t="shared" si="11"/>
        <v>4.3151824110682897</v>
      </c>
    </row>
    <row r="65" spans="1:9">
      <c r="A65" s="646"/>
      <c r="B65" s="646" t="s">
        <v>104</v>
      </c>
      <c r="C65" s="646">
        <f t="shared" si="8"/>
        <v>4.3151824110682897</v>
      </c>
      <c r="D65" s="646">
        <f t="shared" si="9"/>
        <v>3.2363868083012171E-2</v>
      </c>
      <c r="E65" s="646">
        <f t="shared" si="10"/>
        <v>0.85018766196134077</v>
      </c>
      <c r="F65" s="646">
        <f t="shared" si="5"/>
        <v>0.88255153004435294</v>
      </c>
      <c r="G65" s="646">
        <f t="shared" si="11"/>
        <v>3.4649947491069488</v>
      </c>
    </row>
    <row r="66" spans="1:9">
      <c r="A66" s="646"/>
      <c r="B66" s="646" t="s">
        <v>105</v>
      </c>
      <c r="C66" s="646">
        <f t="shared" si="8"/>
        <v>3.4649947491069488</v>
      </c>
      <c r="D66" s="646">
        <f t="shared" si="9"/>
        <v>2.5987460618302118E-2</v>
      </c>
      <c r="E66" s="646">
        <f t="shared" si="10"/>
        <v>0.85656406942605079</v>
      </c>
      <c r="F66" s="646">
        <f t="shared" si="5"/>
        <v>0.88255153004435294</v>
      </c>
      <c r="G66" s="646">
        <f t="shared" si="11"/>
        <v>2.608430679680898</v>
      </c>
    </row>
    <row r="67" spans="1:9">
      <c r="A67" s="646"/>
      <c r="B67" s="646" t="s">
        <v>106</v>
      </c>
      <c r="C67" s="646">
        <f t="shared" si="8"/>
        <v>2.608430679680898</v>
      </c>
      <c r="D67" s="646">
        <f t="shared" si="9"/>
        <v>1.9563230097606733E-2</v>
      </c>
      <c r="E67" s="646">
        <f t="shared" si="10"/>
        <v>0.8629882999467462</v>
      </c>
      <c r="F67" s="646">
        <f t="shared" si="5"/>
        <v>0.88255153004435294</v>
      </c>
      <c r="G67" s="646">
        <f t="shared" si="11"/>
        <v>1.7454423797341518</v>
      </c>
    </row>
    <row r="68" spans="1:9">
      <c r="A68" s="646"/>
      <c r="B68" s="646" t="s">
        <v>107</v>
      </c>
      <c r="C68" s="646">
        <f t="shared" si="8"/>
        <v>1.7454423797341518</v>
      </c>
      <c r="D68" s="646">
        <f t="shared" si="9"/>
        <v>1.3090817848006137E-2</v>
      </c>
      <c r="E68" s="646">
        <f t="shared" si="10"/>
        <v>0.8694607121963468</v>
      </c>
      <c r="F68" s="646">
        <f t="shared" si="5"/>
        <v>0.88255153004435294</v>
      </c>
      <c r="G68" s="646">
        <f t="shared" si="11"/>
        <v>0.87598166753780504</v>
      </c>
    </row>
    <row r="69" spans="1:9">
      <c r="A69" s="646"/>
      <c r="B69" s="646" t="s">
        <v>108</v>
      </c>
      <c r="C69" s="646">
        <f t="shared" si="8"/>
        <v>0.87598166753780504</v>
      </c>
      <c r="D69" s="646">
        <f t="shared" si="9"/>
        <v>6.5698625065335374E-3</v>
      </c>
      <c r="E69" s="646">
        <f t="shared" si="10"/>
        <v>0.87598166753781936</v>
      </c>
      <c r="F69" s="646">
        <f t="shared" si="5"/>
        <v>0.88255153004435294</v>
      </c>
      <c r="G69" s="646">
        <f t="shared" si="11"/>
        <v>-1.4321877017664519E-14</v>
      </c>
      <c r="H69" s="1"/>
      <c r="I69" s="1"/>
    </row>
    <row r="70" spans="1:9">
      <c r="A70" s="80" t="s">
        <v>15</v>
      </c>
      <c r="B70" s="80" t="s">
        <v>109</v>
      </c>
      <c r="C70" s="81">
        <v>0</v>
      </c>
      <c r="D70" s="81">
        <v>0</v>
      </c>
      <c r="E70" s="81">
        <v>0</v>
      </c>
      <c r="F70" s="81">
        <v>0</v>
      </c>
      <c r="G70" s="81">
        <v>0</v>
      </c>
    </row>
    <row r="71" spans="1:9">
      <c r="A71" s="80"/>
      <c r="B71" s="80" t="s">
        <v>110</v>
      </c>
      <c r="C71" s="81">
        <v>0</v>
      </c>
      <c r="D71" s="81">
        <v>0</v>
      </c>
      <c r="E71" s="81">
        <v>0</v>
      </c>
      <c r="F71" s="81">
        <v>0</v>
      </c>
      <c r="G71" s="81">
        <v>0</v>
      </c>
    </row>
    <row r="72" spans="1:9">
      <c r="A72" s="80"/>
      <c r="B72" s="80" t="s">
        <v>111</v>
      </c>
      <c r="C72" s="81">
        <v>0</v>
      </c>
      <c r="D72" s="81">
        <v>0</v>
      </c>
      <c r="E72" s="81">
        <v>0</v>
      </c>
      <c r="F72" s="81">
        <v>0</v>
      </c>
      <c r="G72" s="81">
        <v>0</v>
      </c>
    </row>
    <row r="73" spans="1:9">
      <c r="A73" s="80"/>
      <c r="B73" s="80" t="s">
        <v>112</v>
      </c>
      <c r="C73" s="81">
        <v>0</v>
      </c>
      <c r="D73" s="81">
        <v>0</v>
      </c>
      <c r="E73" s="81">
        <v>0</v>
      </c>
      <c r="F73" s="81">
        <v>0</v>
      </c>
      <c r="G73" s="81">
        <v>0</v>
      </c>
    </row>
    <row r="74" spans="1:9">
      <c r="A74" s="80"/>
      <c r="B74" s="80" t="s">
        <v>113</v>
      </c>
      <c r="C74" s="81">
        <v>0</v>
      </c>
      <c r="D74" s="81">
        <v>0</v>
      </c>
      <c r="E74" s="81">
        <v>0</v>
      </c>
      <c r="F74" s="81">
        <v>0</v>
      </c>
      <c r="G74" s="81">
        <v>0</v>
      </c>
    </row>
    <row r="75" spans="1:9">
      <c r="A75" s="80"/>
      <c r="B75" s="80" t="s">
        <v>114</v>
      </c>
      <c r="C75" s="81">
        <v>0</v>
      </c>
      <c r="D75" s="81">
        <v>0</v>
      </c>
      <c r="E75" s="81">
        <v>0</v>
      </c>
      <c r="F75" s="81">
        <v>0</v>
      </c>
      <c r="G75" s="81">
        <v>0</v>
      </c>
    </row>
    <row r="76" spans="1:9">
      <c r="A76" s="80"/>
      <c r="B76" s="80" t="s">
        <v>115</v>
      </c>
      <c r="C76" s="81">
        <v>0</v>
      </c>
      <c r="D76" s="81">
        <v>0</v>
      </c>
      <c r="E76" s="81">
        <v>0</v>
      </c>
      <c r="F76" s="81">
        <v>0</v>
      </c>
      <c r="G76" s="81">
        <v>0</v>
      </c>
    </row>
    <row r="77" spans="1:9">
      <c r="A77" s="80"/>
      <c r="B77" s="80" t="s">
        <v>116</v>
      </c>
      <c r="C77" s="81">
        <v>0</v>
      </c>
      <c r="D77" s="81">
        <v>0</v>
      </c>
      <c r="E77" s="81">
        <v>0</v>
      </c>
      <c r="F77" s="81">
        <v>0</v>
      </c>
      <c r="G77" s="81">
        <v>0</v>
      </c>
    </row>
    <row r="78" spans="1:9">
      <c r="A78" s="80"/>
      <c r="B78" s="80" t="s">
        <v>117</v>
      </c>
      <c r="C78" s="81">
        <v>0</v>
      </c>
      <c r="D78" s="81">
        <v>0</v>
      </c>
      <c r="E78" s="81">
        <v>0</v>
      </c>
      <c r="F78" s="81">
        <v>0</v>
      </c>
      <c r="G78" s="81">
        <v>0</v>
      </c>
    </row>
    <row r="79" spans="1:9">
      <c r="A79" s="80"/>
      <c r="B79" s="80" t="s">
        <v>118</v>
      </c>
      <c r="C79" s="81">
        <v>0</v>
      </c>
      <c r="D79" s="81">
        <v>0</v>
      </c>
      <c r="E79" s="81">
        <v>0</v>
      </c>
      <c r="F79" s="81">
        <v>0</v>
      </c>
      <c r="G79" s="81">
        <v>0</v>
      </c>
    </row>
    <row r="80" spans="1:9">
      <c r="A80" s="80"/>
      <c r="B80" s="80" t="s">
        <v>119</v>
      </c>
      <c r="C80" s="81">
        <v>0</v>
      </c>
      <c r="D80" s="81">
        <v>0</v>
      </c>
      <c r="E80" s="81">
        <v>0</v>
      </c>
      <c r="F80" s="81">
        <v>0</v>
      </c>
      <c r="G80" s="81">
        <v>0</v>
      </c>
    </row>
    <row r="81" spans="1:9">
      <c r="A81" s="80"/>
      <c r="B81" s="80" t="s">
        <v>120</v>
      </c>
      <c r="C81" s="81">
        <v>0</v>
      </c>
      <c r="D81" s="81">
        <v>0</v>
      </c>
      <c r="E81" s="81">
        <v>0</v>
      </c>
      <c r="F81" s="81">
        <v>0</v>
      </c>
      <c r="G81" s="81">
        <v>0</v>
      </c>
      <c r="H81" s="1"/>
      <c r="I81" s="1"/>
    </row>
    <row r="82" spans="1:9">
      <c r="A82" s="80" t="s">
        <v>270</v>
      </c>
      <c r="B82" s="80" t="s">
        <v>206</v>
      </c>
      <c r="C82" s="81">
        <v>0</v>
      </c>
      <c r="D82" s="81">
        <v>0</v>
      </c>
      <c r="E82" s="81">
        <v>0</v>
      </c>
      <c r="F82" s="81">
        <v>0</v>
      </c>
      <c r="G82" s="81">
        <v>0</v>
      </c>
    </row>
    <row r="83" spans="1:9">
      <c r="A83" s="80"/>
      <c r="B83" s="80" t="s">
        <v>207</v>
      </c>
      <c r="C83" s="81">
        <v>0</v>
      </c>
      <c r="D83" s="81">
        <v>0</v>
      </c>
      <c r="E83" s="81">
        <v>0</v>
      </c>
      <c r="F83" s="81">
        <v>0</v>
      </c>
      <c r="G83" s="81">
        <v>0</v>
      </c>
    </row>
    <row r="84" spans="1:9">
      <c r="A84" s="80"/>
      <c r="B84" s="80" t="s">
        <v>208</v>
      </c>
      <c r="C84" s="81">
        <v>0</v>
      </c>
      <c r="D84" s="81">
        <v>0</v>
      </c>
      <c r="E84" s="81">
        <v>0</v>
      </c>
      <c r="F84" s="81">
        <v>0</v>
      </c>
      <c r="G84" s="81">
        <v>0</v>
      </c>
    </row>
    <row r="85" spans="1:9">
      <c r="A85" s="80"/>
      <c r="B85" s="80" t="s">
        <v>209</v>
      </c>
      <c r="C85" s="81">
        <v>0</v>
      </c>
      <c r="D85" s="81">
        <v>0</v>
      </c>
      <c r="E85" s="81">
        <v>0</v>
      </c>
      <c r="F85" s="81">
        <v>0</v>
      </c>
      <c r="G85" s="81">
        <v>0</v>
      </c>
    </row>
    <row r="86" spans="1:9">
      <c r="A86" s="80"/>
      <c r="B86" s="80" t="s">
        <v>210</v>
      </c>
      <c r="C86" s="81">
        <v>0</v>
      </c>
      <c r="D86" s="81">
        <v>0</v>
      </c>
      <c r="E86" s="81">
        <v>0</v>
      </c>
      <c r="F86" s="81">
        <v>0</v>
      </c>
      <c r="G86" s="81">
        <v>0</v>
      </c>
    </row>
    <row r="87" spans="1:9">
      <c r="A87" s="80"/>
      <c r="B87" s="80" t="s">
        <v>211</v>
      </c>
      <c r="C87" s="81">
        <v>0</v>
      </c>
      <c r="D87" s="81">
        <v>0</v>
      </c>
      <c r="E87" s="81">
        <v>0</v>
      </c>
      <c r="F87" s="81">
        <v>0</v>
      </c>
      <c r="G87" s="81">
        <v>0</v>
      </c>
    </row>
    <row r="88" spans="1:9">
      <c r="A88" s="80"/>
      <c r="B88" s="80" t="s">
        <v>212</v>
      </c>
      <c r="C88" s="81">
        <v>0</v>
      </c>
      <c r="D88" s="81">
        <v>0</v>
      </c>
      <c r="E88" s="81">
        <v>0</v>
      </c>
      <c r="F88" s="81">
        <v>0</v>
      </c>
      <c r="G88" s="81">
        <v>0</v>
      </c>
    </row>
    <row r="89" spans="1:9">
      <c r="A89" s="80"/>
      <c r="B89" s="80" t="s">
        <v>213</v>
      </c>
      <c r="C89" s="81">
        <v>0</v>
      </c>
      <c r="D89" s="81">
        <v>0</v>
      </c>
      <c r="E89" s="81">
        <v>0</v>
      </c>
      <c r="F89" s="81">
        <v>0</v>
      </c>
      <c r="G89" s="81">
        <v>0</v>
      </c>
    </row>
    <row r="90" spans="1:9">
      <c r="A90" s="80"/>
      <c r="B90" s="80" t="s">
        <v>214</v>
      </c>
      <c r="C90" s="81">
        <v>0</v>
      </c>
      <c r="D90" s="81">
        <v>0</v>
      </c>
      <c r="E90" s="81">
        <v>0</v>
      </c>
      <c r="F90" s="81">
        <v>0</v>
      </c>
      <c r="G90" s="81">
        <v>0</v>
      </c>
    </row>
    <row r="91" spans="1:9">
      <c r="A91" s="80"/>
      <c r="B91" s="80" t="s">
        <v>215</v>
      </c>
      <c r="C91" s="81">
        <v>0</v>
      </c>
      <c r="D91" s="81">
        <v>0</v>
      </c>
      <c r="E91" s="81">
        <v>0</v>
      </c>
      <c r="F91" s="81">
        <v>0</v>
      </c>
      <c r="G91" s="81">
        <v>0</v>
      </c>
    </row>
    <row r="92" spans="1:9">
      <c r="A92" s="80"/>
      <c r="B92" s="80" t="s">
        <v>216</v>
      </c>
      <c r="C92" s="81">
        <v>0</v>
      </c>
      <c r="D92" s="81">
        <v>0</v>
      </c>
      <c r="E92" s="81">
        <v>0</v>
      </c>
      <c r="F92" s="81">
        <v>0</v>
      </c>
      <c r="G92" s="81">
        <v>0</v>
      </c>
    </row>
    <row r="93" spans="1:9">
      <c r="A93" s="80"/>
      <c r="B93" s="80" t="s">
        <v>217</v>
      </c>
      <c r="C93" s="81">
        <v>0</v>
      </c>
      <c r="D93" s="81">
        <v>0</v>
      </c>
      <c r="E93" s="81">
        <v>0</v>
      </c>
      <c r="F93" s="81">
        <v>0</v>
      </c>
      <c r="G93" s="81">
        <v>0</v>
      </c>
    </row>
    <row r="94" spans="1:9">
      <c r="A94" s="79"/>
      <c r="B94" s="79"/>
      <c r="C94" s="79"/>
      <c r="D94" s="88">
        <f>SUM(D10:D93)</f>
        <v>10.346582213395056</v>
      </c>
      <c r="E94" s="88">
        <f>SUM(E10:E93)</f>
        <v>39.069319800000002</v>
      </c>
      <c r="F94" s="79"/>
      <c r="G94" s="79"/>
    </row>
    <row r="95" spans="1:9" ht="39.950000000000003" customHeight="1">
      <c r="A95" s="720" t="s">
        <v>397</v>
      </c>
      <c r="B95" s="720"/>
      <c r="C95" s="720"/>
      <c r="D95" s="720"/>
      <c r="E95" s="720"/>
      <c r="F95" s="720"/>
      <c r="G95" s="720"/>
      <c r="H95" s="720"/>
    </row>
    <row r="96" spans="1:9">
      <c r="A96" t="s">
        <v>480</v>
      </c>
    </row>
    <row r="97" spans="1:2">
      <c r="A97">
        <v>1</v>
      </c>
      <c r="B97" t="s">
        <v>481</v>
      </c>
    </row>
    <row r="98" spans="1:2">
      <c r="A98">
        <v>2</v>
      </c>
      <c r="B98" t="s">
        <v>482</v>
      </c>
    </row>
  </sheetData>
  <mergeCells count="2">
    <mergeCell ref="A2:G2"/>
    <mergeCell ref="A95:H95"/>
  </mergeCells>
  <pageMargins left="0.7" right="0.7" top="0.75" bottom="0.75" header="0.3" footer="0.3"/>
  <pageSetup scale="5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V82"/>
  <sheetViews>
    <sheetView view="pageBreakPreview" topLeftCell="A17" zoomScale="55" zoomScaleSheetLayoutView="55" workbookViewId="0">
      <selection activeCell="C4" sqref="C4:K21"/>
    </sheetView>
  </sheetViews>
  <sheetFormatPr defaultRowHeight="15"/>
  <cols>
    <col min="1" max="1" width="3.7109375" customWidth="1"/>
    <col min="2" max="2" width="7.5703125" bestFit="1" customWidth="1"/>
    <col min="3" max="3" width="30.5703125" customWidth="1"/>
    <col min="4" max="4" width="10.85546875" customWidth="1"/>
    <col min="5" max="11" width="12.42578125" customWidth="1"/>
    <col min="14" max="14" width="24" hidden="1" customWidth="1"/>
    <col min="15" max="15" width="11.85546875" hidden="1" customWidth="1"/>
    <col min="16" max="16" width="9.5703125" hidden="1" customWidth="1"/>
    <col min="17" max="17" width="10.85546875" hidden="1" customWidth="1"/>
    <col min="18" max="18" width="11.28515625" hidden="1" customWidth="1"/>
    <col min="19" max="20" width="0" hidden="1" customWidth="1"/>
    <col min="21" max="21" width="24" hidden="1" customWidth="1"/>
    <col min="22" max="22" width="12.5703125" hidden="1" customWidth="1"/>
    <col min="23" max="23" width="0" hidden="1" customWidth="1"/>
  </cols>
  <sheetData>
    <row r="2" spans="3:22" ht="18.75">
      <c r="C2" s="703" t="s">
        <v>795</v>
      </c>
      <c r="D2" s="703"/>
      <c r="E2" s="703"/>
      <c r="F2" s="703"/>
      <c r="G2" s="703"/>
      <c r="H2" s="703"/>
      <c r="I2" s="703"/>
      <c r="J2" s="703"/>
      <c r="K2" s="703"/>
      <c r="L2" s="173"/>
    </row>
    <row r="4" spans="3:22">
      <c r="C4" s="69" t="s">
        <v>0</v>
      </c>
      <c r="D4" s="69" t="s">
        <v>793</v>
      </c>
      <c r="E4" s="70" t="s">
        <v>2</v>
      </c>
      <c r="F4" s="70" t="s">
        <v>3</v>
      </c>
      <c r="G4" s="70" t="s">
        <v>4</v>
      </c>
      <c r="H4" s="70" t="s">
        <v>5</v>
      </c>
      <c r="I4" s="70" t="s">
        <v>6</v>
      </c>
      <c r="J4" s="70" t="s">
        <v>163</v>
      </c>
      <c r="K4" s="70" t="s">
        <v>162</v>
      </c>
      <c r="L4" s="79"/>
      <c r="M4" s="79"/>
      <c r="N4" s="208"/>
      <c r="O4" s="208"/>
      <c r="P4" s="208"/>
      <c r="Q4" s="208"/>
      <c r="R4" s="208"/>
      <c r="S4" s="208"/>
      <c r="T4" s="208"/>
      <c r="U4" s="208"/>
      <c r="V4" s="208"/>
    </row>
    <row r="5" spans="3:22">
      <c r="C5" s="80" t="s">
        <v>354</v>
      </c>
      <c r="D5" s="80"/>
      <c r="E5" s="80"/>
      <c r="F5" s="80"/>
      <c r="G5" s="80"/>
      <c r="H5" s="80"/>
      <c r="I5" s="80"/>
      <c r="J5" s="80"/>
      <c r="K5" s="80"/>
      <c r="L5" s="79"/>
      <c r="M5" s="79"/>
      <c r="N5" s="721" t="s">
        <v>476</v>
      </c>
      <c r="O5" s="721"/>
      <c r="P5" s="721"/>
      <c r="Q5" s="721"/>
      <c r="R5" s="721"/>
      <c r="S5" s="208"/>
      <c r="T5" s="208"/>
      <c r="U5" s="721" t="s">
        <v>477</v>
      </c>
      <c r="V5" s="721"/>
    </row>
    <row r="6" spans="3:22">
      <c r="C6" s="80" t="s">
        <v>355</v>
      </c>
      <c r="D6" s="153"/>
      <c r="E6" s="80"/>
      <c r="F6" s="81">
        <v>0</v>
      </c>
      <c r="G6" s="81">
        <v>0</v>
      </c>
      <c r="H6" s="81">
        <v>0</v>
      </c>
      <c r="I6" s="81">
        <v>0</v>
      </c>
      <c r="J6" s="81">
        <v>0</v>
      </c>
      <c r="K6" s="81">
        <v>0</v>
      </c>
      <c r="L6" s="79"/>
      <c r="M6" s="79"/>
      <c r="N6" s="728" t="s">
        <v>478</v>
      </c>
      <c r="O6" s="728"/>
      <c r="P6" s="728"/>
      <c r="Q6" s="728"/>
      <c r="R6" s="728"/>
      <c r="S6" s="208"/>
      <c r="T6" s="208"/>
      <c r="U6" s="728" t="s">
        <v>478</v>
      </c>
      <c r="V6" s="728"/>
    </row>
    <row r="7" spans="3:22">
      <c r="C7" s="80" t="s">
        <v>435</v>
      </c>
      <c r="D7" s="153"/>
      <c r="E7" s="80"/>
      <c r="F7" s="363">
        <v>0</v>
      </c>
      <c r="G7" s="363">
        <v>0</v>
      </c>
      <c r="H7" s="363">
        <v>0</v>
      </c>
      <c r="I7" s="363">
        <v>0</v>
      </c>
      <c r="J7" s="363">
        <v>0</v>
      </c>
      <c r="K7" s="363">
        <v>0</v>
      </c>
      <c r="L7" s="79"/>
      <c r="M7" s="79"/>
      <c r="N7" s="209" t="s">
        <v>0</v>
      </c>
      <c r="O7" s="209" t="s">
        <v>158</v>
      </c>
      <c r="P7" s="209" t="s">
        <v>159</v>
      </c>
      <c r="Q7" s="209" t="s">
        <v>305</v>
      </c>
      <c r="R7" s="209" t="s">
        <v>306</v>
      </c>
      <c r="S7" s="208"/>
      <c r="T7" s="208"/>
      <c r="U7" s="289" t="s">
        <v>0</v>
      </c>
      <c r="V7" s="289" t="s">
        <v>455</v>
      </c>
    </row>
    <row r="8" spans="3:22">
      <c r="C8" s="80" t="s">
        <v>492</v>
      </c>
      <c r="D8" s="153"/>
      <c r="E8" s="80"/>
      <c r="F8" s="363">
        <f t="shared" ref="F8:K9" si="0">E17</f>
        <v>8.9799999999999986</v>
      </c>
      <c r="G8" s="363">
        <f t="shared" si="0"/>
        <v>10.342500000000001</v>
      </c>
      <c r="H8" s="363">
        <f t="shared" si="0"/>
        <v>11.4991</v>
      </c>
      <c r="I8" s="363">
        <f t="shared" si="0"/>
        <v>12.930702500000001</v>
      </c>
      <c r="J8" s="363">
        <f t="shared" si="0"/>
        <v>14.282161250000001</v>
      </c>
      <c r="K8" s="363">
        <f t="shared" si="0"/>
        <v>15.940707668750004</v>
      </c>
      <c r="L8" s="79"/>
      <c r="M8" s="79"/>
      <c r="N8" s="210" t="s">
        <v>356</v>
      </c>
      <c r="O8" s="210">
        <f>'17.Facility 6 F &amp; V Processing '!C152</f>
        <v>0</v>
      </c>
      <c r="P8" s="210">
        <f>'17.Facility 6 F &amp; V Processing '!C153</f>
        <v>0</v>
      </c>
      <c r="Q8" s="210">
        <f>'17.Facility 6 F &amp; V Processing '!C154</f>
        <v>150</v>
      </c>
      <c r="R8" s="210">
        <f>'17.Facility 6 F &amp; V Processing '!C155</f>
        <v>40</v>
      </c>
      <c r="S8" s="208"/>
      <c r="T8" s="208"/>
      <c r="U8" s="210" t="s">
        <v>331</v>
      </c>
      <c r="V8" s="210" t="str">
        <f>'13.Facility 2 Grain Processing'!C149</f>
        <v>As per Purchase Schedule</v>
      </c>
    </row>
    <row r="9" spans="3:22">
      <c r="C9" s="80" t="str">
        <f>C18</f>
        <v xml:space="preserve">Horticulture Processing </v>
      </c>
      <c r="D9" s="80"/>
      <c r="E9" s="80"/>
      <c r="F9" s="363">
        <f>E18</f>
        <v>0</v>
      </c>
      <c r="G9" s="363">
        <f t="shared" si="0"/>
        <v>0</v>
      </c>
      <c r="H9" s="363">
        <f t="shared" si="0"/>
        <v>0</v>
      </c>
      <c r="I9" s="363">
        <f t="shared" si="0"/>
        <v>0</v>
      </c>
      <c r="J9" s="363">
        <f t="shared" si="0"/>
        <v>0</v>
      </c>
      <c r="K9" s="363">
        <f t="shared" si="0"/>
        <v>0</v>
      </c>
      <c r="L9" s="79"/>
      <c r="M9" s="79"/>
      <c r="N9" s="210" t="str">
        <f>'17.Facility 6 F &amp; V Processing '!A156</f>
        <v>Pomegranate Powder</v>
      </c>
      <c r="O9" s="210" t="e">
        <f>('17.Facility 6 F &amp; V Processing '!B156*'17.Facility 6 F &amp; V Processing '!C156/1000)*100</f>
        <v>#VALUE!</v>
      </c>
      <c r="P9" s="210" t="e">
        <f>O9</f>
        <v>#VALUE!</v>
      </c>
      <c r="Q9" s="210" t="e">
        <f t="shared" ref="Q9:R9" si="1">P9</f>
        <v>#VALUE!</v>
      </c>
      <c r="R9" s="210" t="e">
        <f t="shared" si="1"/>
        <v>#VALUE!</v>
      </c>
      <c r="S9" s="208"/>
      <c r="T9" s="208"/>
      <c r="U9" s="210" t="e">
        <f>'13.Facility 2 Grain Processing'!#REF!</f>
        <v>#REF!</v>
      </c>
      <c r="V9" s="211" t="e">
        <f>'13.Facility 2 Grain Processing'!#REF!</f>
        <v>#REF!</v>
      </c>
    </row>
    <row r="10" spans="3:22">
      <c r="C10" s="80"/>
      <c r="D10" s="80"/>
      <c r="E10" s="80"/>
      <c r="F10" s="363"/>
      <c r="G10" s="363"/>
      <c r="H10" s="363"/>
      <c r="I10" s="363"/>
      <c r="J10" s="363"/>
      <c r="K10" s="363"/>
      <c r="L10" s="79"/>
      <c r="M10" s="79"/>
      <c r="N10" s="210">
        <f>'17.Facility 6 F &amp; V Processing '!A157</f>
        <v>0</v>
      </c>
      <c r="O10" s="212">
        <f>('17.Facility 6 F &amp; V Processing '!B157*'17.Facility 6 F &amp; V Processing '!C157)/('17.Facility 6 F &amp; V Processing '!B5*'17.Facility 6 F &amp; V Processing '!B6)</f>
        <v>0</v>
      </c>
      <c r="P10" s="212">
        <f>O10</f>
        <v>0</v>
      </c>
      <c r="Q10" s="212">
        <f t="shared" ref="Q10:R10" si="2">P10</f>
        <v>0</v>
      </c>
      <c r="R10" s="212">
        <f t="shared" si="2"/>
        <v>0</v>
      </c>
      <c r="S10" s="208"/>
      <c r="T10" s="208"/>
      <c r="U10" s="210" t="str">
        <f>'13.Facility 2 Grain Processing'!A150</f>
        <v xml:space="preserve">Daily Labour </v>
      </c>
      <c r="V10" s="211" t="e">
        <f>'13.Facility 2 Grain Processing'!B150*'13.Facility 2 Grain Processing'!C150/('13.Facility 2 Grain Processing'!B7*'13.Facility 2 Grain Processing'!B8)</f>
        <v>#VALUE!</v>
      </c>
    </row>
    <row r="11" spans="3:22">
      <c r="C11" s="80"/>
      <c r="D11" s="80"/>
      <c r="E11" s="80"/>
      <c r="F11" s="363"/>
      <c r="G11" s="363"/>
      <c r="H11" s="363"/>
      <c r="I11" s="363"/>
      <c r="J11" s="363"/>
      <c r="K11" s="363"/>
      <c r="L11" s="79"/>
      <c r="M11" s="79"/>
      <c r="N11" s="210">
        <f>'17.Facility 6 F &amp; V Processing '!A158</f>
        <v>0</v>
      </c>
      <c r="O11" s="212">
        <f>('17.Facility 6 F &amp; V Processing '!B158*'17.Facility 6 F &amp; V Processing '!C158)/('17.Facility 6 F &amp; V Processing '!B5*'17.Facility 6 F &amp; V Processing '!B6)</f>
        <v>0</v>
      </c>
      <c r="P11" s="212">
        <f>O11</f>
        <v>0</v>
      </c>
      <c r="Q11" s="212">
        <f t="shared" ref="Q11" si="3">P11</f>
        <v>0</v>
      </c>
      <c r="R11" s="212">
        <f t="shared" ref="R11" si="4">Q11</f>
        <v>0</v>
      </c>
      <c r="S11" s="208"/>
      <c r="T11" s="208"/>
      <c r="U11" s="210" t="str">
        <f>'13.Facility 2 Grain Processing'!A151</f>
        <v>Electricity Charges</v>
      </c>
      <c r="V11" s="210" t="e">
        <f>'13.Facility 2 Grain Processing'!B151*'13.Facility 2 Grain Processing'!C151/('13.Facility 2 Grain Processing'!B7*'13.Facility 2 Grain Processing'!B8)</f>
        <v>#VALUE!</v>
      </c>
    </row>
    <row r="12" spans="3:22">
      <c r="C12" s="80" t="s">
        <v>1</v>
      </c>
      <c r="D12" s="80"/>
      <c r="E12" s="81"/>
      <c r="F12" s="363">
        <f t="shared" ref="F12:K12" si="5">SUM(F6:F11)</f>
        <v>8.9799999999999986</v>
      </c>
      <c r="G12" s="363">
        <f t="shared" si="5"/>
        <v>10.342500000000001</v>
      </c>
      <c r="H12" s="363">
        <f t="shared" si="5"/>
        <v>11.4991</v>
      </c>
      <c r="I12" s="363">
        <f t="shared" si="5"/>
        <v>12.930702500000001</v>
      </c>
      <c r="J12" s="363">
        <f t="shared" si="5"/>
        <v>14.282161250000001</v>
      </c>
      <c r="K12" s="363">
        <f t="shared" si="5"/>
        <v>15.940707668750004</v>
      </c>
      <c r="L12" s="79"/>
      <c r="M12" s="79"/>
      <c r="N12" s="210" t="str">
        <f>'17.Facility 6 F &amp; V Processing '!A159</f>
        <v>Revenue</v>
      </c>
      <c r="O12" s="210">
        <f>'17.Facility 6 F &amp; V Processing '!C159*2</f>
        <v>0</v>
      </c>
      <c r="P12" s="210">
        <f>O12</f>
        <v>0</v>
      </c>
      <c r="Q12" s="210">
        <f t="shared" ref="Q12:R13" si="6">P12</f>
        <v>0</v>
      </c>
      <c r="R12" s="210">
        <f t="shared" si="6"/>
        <v>0</v>
      </c>
      <c r="S12" s="208"/>
      <c r="T12" s="208"/>
      <c r="U12" s="210" t="str">
        <f>'13.Facility 2 Grain Processing'!A155</f>
        <v xml:space="preserve">Repairs &amp; Maintainence including  solar </v>
      </c>
      <c r="V12" s="210">
        <f>'13.Facility 2 Grain Processing'!C155</f>
        <v>900</v>
      </c>
    </row>
    <row r="13" spans="3:22">
      <c r="C13" s="80"/>
      <c r="D13" s="80"/>
      <c r="E13" s="80"/>
      <c r="F13" s="363"/>
      <c r="G13" s="363"/>
      <c r="H13" s="363"/>
      <c r="I13" s="363"/>
      <c r="J13" s="363"/>
      <c r="K13" s="363"/>
      <c r="L13" s="79"/>
      <c r="M13" s="79"/>
      <c r="N13" s="210">
        <f>'17.Facility 6 F &amp; V Processing '!A160</f>
        <v>0</v>
      </c>
      <c r="O13" s="210">
        <f>'17.Facility 6 F &amp; V Processing '!C160*2</f>
        <v>0</v>
      </c>
      <c r="P13" s="210">
        <f>O13</f>
        <v>0</v>
      </c>
      <c r="Q13" s="210">
        <f t="shared" si="6"/>
        <v>0</v>
      </c>
      <c r="R13" s="210">
        <f t="shared" si="6"/>
        <v>0</v>
      </c>
      <c r="S13" s="208"/>
      <c r="T13" s="208"/>
      <c r="U13" s="210" t="str">
        <f>'13.Facility 2 Grain Processing'!A156</f>
        <v>Selling &amp; Dist Exp</v>
      </c>
      <c r="V13" s="10">
        <f>'13.Facility 2 Grain Processing'!C156*100</f>
        <v>16000</v>
      </c>
    </row>
    <row r="14" spans="3:22">
      <c r="C14" s="82" t="s">
        <v>333</v>
      </c>
      <c r="D14" s="80"/>
      <c r="E14" s="80"/>
      <c r="F14" s="363"/>
      <c r="G14" s="363"/>
      <c r="H14" s="363"/>
      <c r="I14" s="363"/>
      <c r="J14" s="363"/>
      <c r="K14" s="363"/>
      <c r="L14" s="79"/>
      <c r="M14" s="79"/>
      <c r="N14" s="210"/>
      <c r="O14" s="10"/>
      <c r="P14" s="10"/>
      <c r="Q14" s="10"/>
      <c r="R14" s="10"/>
      <c r="S14" s="208"/>
      <c r="T14" s="208"/>
      <c r="U14" s="10"/>
      <c r="V14" s="10"/>
    </row>
    <row r="15" spans="3:22">
      <c r="C15" s="80" t="str">
        <f>C6</f>
        <v>Agri Input</v>
      </c>
      <c r="D15" s="489">
        <v>15</v>
      </c>
      <c r="E15" s="81">
        <v>0</v>
      </c>
      <c r="F15" s="363">
        <v>0</v>
      </c>
      <c r="G15" s="363">
        <v>0</v>
      </c>
      <c r="H15" s="363">
        <v>0</v>
      </c>
      <c r="I15" s="363">
        <v>0</v>
      </c>
      <c r="J15" s="363">
        <v>0</v>
      </c>
      <c r="K15" s="363">
        <v>0</v>
      </c>
      <c r="L15" s="79"/>
      <c r="M15" s="79"/>
      <c r="N15" s="10"/>
      <c r="O15" s="10"/>
      <c r="P15" s="10"/>
      <c r="Q15" s="10"/>
      <c r="R15" s="10"/>
      <c r="U15" s="10"/>
      <c r="V15" s="10"/>
    </row>
    <row r="16" spans="3:22">
      <c r="C16" s="80" t="str">
        <f>C7</f>
        <v>Trading</v>
      </c>
      <c r="D16" s="489">
        <v>15</v>
      </c>
      <c r="E16" s="81">
        <v>0</v>
      </c>
      <c r="F16" s="363">
        <v>0</v>
      </c>
      <c r="G16" s="363">
        <v>0</v>
      </c>
      <c r="H16" s="363">
        <v>0</v>
      </c>
      <c r="I16" s="363">
        <v>0</v>
      </c>
      <c r="J16" s="363">
        <v>0</v>
      </c>
      <c r="K16" s="363">
        <v>0</v>
      </c>
      <c r="L16" s="79"/>
      <c r="M16" s="79"/>
      <c r="N16" s="209" t="s">
        <v>357</v>
      </c>
      <c r="O16" s="213" t="e">
        <f>SUM(O8:O13)</f>
        <v>#VALUE!</v>
      </c>
      <c r="P16" s="213" t="e">
        <f>SUM(P8:P13)</f>
        <v>#VALUE!</v>
      </c>
      <c r="Q16" s="213" t="e">
        <f>SUM(Q8:Q13)</f>
        <v>#VALUE!</v>
      </c>
      <c r="R16" s="213" t="e">
        <f>SUM(R8:R13)</f>
        <v>#VALUE!</v>
      </c>
      <c r="U16" s="209" t="s">
        <v>1</v>
      </c>
      <c r="V16" s="213" t="e">
        <f>SUM(V8:V15)</f>
        <v>#REF!</v>
      </c>
    </row>
    <row r="17" spans="1:18">
      <c r="C17" s="80" t="str">
        <f>C8</f>
        <v xml:space="preserve">Grain Processing </v>
      </c>
      <c r="D17" s="489" t="s">
        <v>794</v>
      </c>
      <c r="E17" s="363">
        <f>+'13.Facility 2 Grain Processing'!C438+'13.Facility 2 Grain Processing'!B587</f>
        <v>8.9799999999999986</v>
      </c>
      <c r="F17" s="363">
        <f>+'13.Facility 2 Grain Processing'!D438+'13.Facility 2 Grain Processing'!C587</f>
        <v>10.342500000000001</v>
      </c>
      <c r="G17" s="363">
        <f>+'13.Facility 2 Grain Processing'!E438+'13.Facility 2 Grain Processing'!D587</f>
        <v>11.4991</v>
      </c>
      <c r="H17" s="363">
        <f>+'13.Facility 2 Grain Processing'!F438+'13.Facility 2 Grain Processing'!E587</f>
        <v>12.930702500000001</v>
      </c>
      <c r="I17" s="363">
        <f>+'13.Facility 2 Grain Processing'!G438+'13.Facility 2 Grain Processing'!F587</f>
        <v>14.282161250000001</v>
      </c>
      <c r="J17" s="363">
        <f>+'13.Facility 2 Grain Processing'!H438+'13.Facility 2 Grain Processing'!G587</f>
        <v>15.940707668750004</v>
      </c>
      <c r="K17" s="363">
        <f>+'13.Facility 2 Grain Processing'!I438+'13.Facility 2 Grain Processing'!H587</f>
        <v>19.323963523750002</v>
      </c>
      <c r="L17" s="79"/>
      <c r="M17" s="79"/>
    </row>
    <row r="18" spans="1:18">
      <c r="C18" s="80" t="s">
        <v>475</v>
      </c>
      <c r="D18" s="489"/>
      <c r="E18" s="363">
        <v>0</v>
      </c>
      <c r="F18" s="363">
        <v>0</v>
      </c>
      <c r="G18" s="363">
        <v>0</v>
      </c>
      <c r="H18" s="363">
        <v>0</v>
      </c>
      <c r="I18" s="363">
        <v>0</v>
      </c>
      <c r="J18" s="363">
        <v>0</v>
      </c>
      <c r="K18" s="363">
        <v>0</v>
      </c>
      <c r="L18" s="79"/>
      <c r="M18" s="79"/>
    </row>
    <row r="19" spans="1:18">
      <c r="C19" s="80"/>
      <c r="D19" s="206"/>
      <c r="E19" s="81"/>
      <c r="F19" s="363"/>
      <c r="G19" s="363"/>
      <c r="H19" s="363"/>
      <c r="I19" s="363"/>
      <c r="J19" s="363"/>
      <c r="K19" s="363"/>
      <c r="L19" s="79"/>
      <c r="M19" s="79"/>
    </row>
    <row r="20" spans="1:18">
      <c r="C20" s="80"/>
      <c r="D20" s="80"/>
      <c r="E20" s="80"/>
      <c r="F20" s="363"/>
      <c r="G20" s="363"/>
      <c r="H20" s="363"/>
      <c r="I20" s="363"/>
      <c r="J20" s="363"/>
      <c r="K20" s="363"/>
      <c r="L20" s="79"/>
      <c r="M20" s="79"/>
    </row>
    <row r="21" spans="1:18">
      <c r="C21" s="80" t="s">
        <v>1</v>
      </c>
      <c r="D21" s="80"/>
      <c r="E21" s="364">
        <f t="shared" ref="E21:K21" si="7">SUM(E15:E20)</f>
        <v>8.9799999999999986</v>
      </c>
      <c r="F21" s="363">
        <f t="shared" si="7"/>
        <v>10.342500000000001</v>
      </c>
      <c r="G21" s="363">
        <f t="shared" si="7"/>
        <v>11.4991</v>
      </c>
      <c r="H21" s="363">
        <f t="shared" si="7"/>
        <v>12.930702500000001</v>
      </c>
      <c r="I21" s="363">
        <f t="shared" si="7"/>
        <v>14.282161250000001</v>
      </c>
      <c r="J21" s="363">
        <f t="shared" si="7"/>
        <v>15.940707668750004</v>
      </c>
      <c r="K21" s="363">
        <f t="shared" si="7"/>
        <v>19.323963523750002</v>
      </c>
      <c r="L21" s="79"/>
      <c r="M21" s="79"/>
    </row>
    <row r="22" spans="1:18">
      <c r="C22" s="79"/>
      <c r="D22" s="79"/>
      <c r="E22" s="79"/>
      <c r="F22" s="79"/>
      <c r="G22" s="79"/>
      <c r="H22" s="79"/>
      <c r="I22" s="79"/>
      <c r="J22" s="79"/>
      <c r="K22" s="79"/>
      <c r="L22" s="79"/>
      <c r="M22" s="79"/>
    </row>
    <row r="23" spans="1:18" ht="41.1" customHeight="1">
      <c r="B23" s="616"/>
      <c r="C23" s="711" t="s">
        <v>398</v>
      </c>
      <c r="D23" s="711"/>
      <c r="E23" s="711"/>
      <c r="F23" s="711"/>
      <c r="G23" s="711"/>
      <c r="H23" s="711"/>
      <c r="I23" s="711"/>
      <c r="J23" s="711"/>
      <c r="K23" s="711"/>
      <c r="L23" s="288"/>
      <c r="M23" s="288"/>
      <c r="N23" s="288"/>
      <c r="O23" s="247"/>
      <c r="P23" s="247"/>
      <c r="Q23" s="247"/>
      <c r="R23" s="247"/>
    </row>
    <row r="24" spans="1:18">
      <c r="A24" t="s">
        <v>480</v>
      </c>
    </row>
    <row r="25" spans="1:18">
      <c r="A25">
        <v>1</v>
      </c>
      <c r="B25" t="s">
        <v>483</v>
      </c>
    </row>
    <row r="28" spans="1:18" ht="18.75">
      <c r="B28" s="703" t="s">
        <v>502</v>
      </c>
      <c r="C28" s="703"/>
      <c r="D28" s="703"/>
      <c r="E28" s="703"/>
      <c r="F28" s="703"/>
      <c r="G28" s="703"/>
      <c r="H28" s="703"/>
      <c r="I28" s="703"/>
      <c r="J28" s="703"/>
      <c r="K28" s="703"/>
    </row>
    <row r="30" spans="1:18">
      <c r="B30" s="722" t="s">
        <v>140</v>
      </c>
      <c r="C30" s="722" t="s">
        <v>0</v>
      </c>
      <c r="D30" s="723" t="s">
        <v>353</v>
      </c>
      <c r="E30" s="725" t="s">
        <v>154</v>
      </c>
      <c r="F30" s="726"/>
      <c r="G30" s="726"/>
      <c r="H30" s="726"/>
      <c r="I30" s="726"/>
      <c r="J30" s="726"/>
      <c r="K30" s="726"/>
    </row>
    <row r="31" spans="1:18" ht="31.5" customHeight="1">
      <c r="B31" s="722"/>
      <c r="C31" s="722"/>
      <c r="D31" s="724"/>
      <c r="E31" s="176" t="s">
        <v>2</v>
      </c>
      <c r="F31" s="176" t="s">
        <v>3</v>
      </c>
      <c r="G31" s="176" t="s">
        <v>4</v>
      </c>
      <c r="H31" s="176" t="s">
        <v>5</v>
      </c>
      <c r="I31" s="176" t="s">
        <v>6</v>
      </c>
      <c r="J31" s="176" t="s">
        <v>163</v>
      </c>
      <c r="K31" s="176" t="s">
        <v>162</v>
      </c>
    </row>
    <row r="32" spans="1:18">
      <c r="B32" s="179"/>
      <c r="C32" s="180"/>
      <c r="D32" s="180"/>
      <c r="E32" s="181"/>
      <c r="F32" s="181"/>
      <c r="G32" s="181"/>
      <c r="H32" s="181"/>
      <c r="I32" s="181"/>
      <c r="J32" s="181"/>
      <c r="K32" s="181"/>
    </row>
    <row r="33" spans="2:11" ht="28.5">
      <c r="B33" s="182" t="s">
        <v>167</v>
      </c>
      <c r="C33" s="183" t="s">
        <v>334</v>
      </c>
      <c r="D33" s="194"/>
      <c r="E33" s="184"/>
      <c r="F33" s="184"/>
      <c r="G33" s="184"/>
      <c r="H33" s="184"/>
      <c r="I33" s="184"/>
      <c r="J33" s="184"/>
      <c r="K33" s="184"/>
    </row>
    <row r="34" spans="2:11">
      <c r="B34" s="234">
        <v>1</v>
      </c>
      <c r="C34" s="185" t="s">
        <v>355</v>
      </c>
      <c r="D34" s="194">
        <v>14</v>
      </c>
      <c r="E34" s="490">
        <v>0</v>
      </c>
      <c r="F34" s="490">
        <v>0</v>
      </c>
      <c r="G34" s="490">
        <v>0</v>
      </c>
      <c r="H34" s="490">
        <v>0</v>
      </c>
      <c r="I34" s="490">
        <v>0</v>
      </c>
      <c r="J34" s="490">
        <v>0</v>
      </c>
      <c r="K34" s="490">
        <v>0</v>
      </c>
    </row>
    <row r="35" spans="2:11">
      <c r="B35" s="234">
        <v>2</v>
      </c>
      <c r="C35" s="185" t="s">
        <v>350</v>
      </c>
      <c r="D35" s="194">
        <v>14</v>
      </c>
      <c r="E35" s="490">
        <f>('15. Facility 4 Custom Hiring'!E39/365)*$D$35</f>
        <v>0</v>
      </c>
      <c r="F35" s="490">
        <f>('15. Facility 4 Custom Hiring'!F39/365)*$D$35</f>
        <v>0</v>
      </c>
      <c r="G35" s="490">
        <f>('15. Facility 4 Custom Hiring'!G39/365)*$D$35</f>
        <v>0</v>
      </c>
      <c r="H35" s="490">
        <f>('15. Facility 4 Custom Hiring'!H39/365)*$D$35</f>
        <v>0</v>
      </c>
      <c r="I35" s="490">
        <f>('15. Facility 4 Custom Hiring'!I39/365)*$D$35</f>
        <v>0</v>
      </c>
      <c r="J35" s="490">
        <f>('15. Facility 4 Custom Hiring'!J39/365)*$D$35</f>
        <v>0</v>
      </c>
      <c r="K35" s="490">
        <f>('15. Facility 4 Custom Hiring'!K39/365)*$D$35</f>
        <v>0</v>
      </c>
    </row>
    <row r="36" spans="2:11">
      <c r="B36" s="234">
        <v>3</v>
      </c>
      <c r="C36" s="185" t="s">
        <v>351</v>
      </c>
      <c r="D36" s="194">
        <v>14</v>
      </c>
      <c r="E36" s="490">
        <v>0</v>
      </c>
      <c r="F36" s="490">
        <v>0</v>
      </c>
      <c r="G36" s="490">
        <v>0</v>
      </c>
      <c r="H36" s="490">
        <v>0</v>
      </c>
      <c r="I36" s="490">
        <v>0</v>
      </c>
      <c r="J36" s="490">
        <v>0</v>
      </c>
      <c r="K36" s="490">
        <v>0</v>
      </c>
    </row>
    <row r="37" spans="2:11">
      <c r="B37" s="234">
        <v>4</v>
      </c>
      <c r="C37" s="185" t="s">
        <v>136</v>
      </c>
      <c r="D37" s="194">
        <v>14</v>
      </c>
      <c r="E37" s="490">
        <f>('17.Facility 6 F &amp; V Processing '!D148/365)*$D$37</f>
        <v>0</v>
      </c>
      <c r="F37" s="490">
        <f>('17.Facility 6 F &amp; V Processing '!E148/365)*$D$37</f>
        <v>0</v>
      </c>
      <c r="G37" s="490">
        <f>('17.Facility 6 F &amp; V Processing '!F148/365)*$D$37</f>
        <v>0</v>
      </c>
      <c r="H37" s="490">
        <f>('17.Facility 6 F &amp; V Processing '!G148/365)*$D$37</f>
        <v>0</v>
      </c>
      <c r="I37" s="490">
        <f>('17.Facility 6 F &amp; V Processing '!H148/365)*$D$37</f>
        <v>0</v>
      </c>
      <c r="J37" s="490">
        <f>('17.Facility 6 F &amp; V Processing '!I148/365)*$D$37</f>
        <v>0</v>
      </c>
      <c r="K37" s="490">
        <f>('17.Facility 6 F &amp; V Processing '!J148/365)*$D$37</f>
        <v>0</v>
      </c>
    </row>
    <row r="38" spans="2:11">
      <c r="B38" s="234">
        <v>5</v>
      </c>
      <c r="C38" s="185" t="s">
        <v>289</v>
      </c>
      <c r="D38" s="194">
        <v>30</v>
      </c>
      <c r="E38" s="490">
        <f>('14. Facility 3 Warehouse'!D23/365)*$D$38</f>
        <v>0</v>
      </c>
      <c r="F38" s="490">
        <f>('14. Facility 3 Warehouse'!E23/365)*$D$38</f>
        <v>0</v>
      </c>
      <c r="G38" s="490">
        <f>('14. Facility 3 Warehouse'!F23/365)*$D$38</f>
        <v>0</v>
      </c>
      <c r="H38" s="490">
        <f>('14. Facility 3 Warehouse'!G23/365)*$D$38</f>
        <v>0</v>
      </c>
      <c r="I38" s="490">
        <f>('14. Facility 3 Warehouse'!H23/365)*$D$38</f>
        <v>0</v>
      </c>
      <c r="J38" s="490">
        <f>('14. Facility 3 Warehouse'!I23/365)*$D$38</f>
        <v>0</v>
      </c>
      <c r="K38" s="490">
        <f>('14. Facility 3 Warehouse'!J23/365)*$D$38</f>
        <v>0</v>
      </c>
    </row>
    <row r="39" spans="2:11">
      <c r="B39" s="234">
        <v>6</v>
      </c>
      <c r="C39" s="185" t="s">
        <v>910</v>
      </c>
      <c r="D39" s="194">
        <v>30</v>
      </c>
      <c r="E39" s="490">
        <f>+'13.Facility 2 Grain Processing'!D141/12</f>
        <v>17.693188888888887</v>
      </c>
      <c r="F39" s="490">
        <f>+'13.Facility 2 Grain Processing'!E141/12</f>
        <v>21.163738333333338</v>
      </c>
      <c r="G39" s="490">
        <f>+'13.Facility 2 Grain Processing'!F141/12</f>
        <v>24.081716000000004</v>
      </c>
      <c r="H39" s="490">
        <f>+'13.Facility 2 Grain Processing'!G141/12</f>
        <v>27.457557816666668</v>
      </c>
      <c r="I39" s="490">
        <f>+'13.Facility 2 Grain Processing'!H141/12</f>
        <v>30.791019139583337</v>
      </c>
      <c r="J39" s="490">
        <f>+'13.Facility 2 Grain Processing'!I141/12</f>
        <v>34.323708320562503</v>
      </c>
      <c r="K39" s="490">
        <f>+'13.Facility 2 Grain Processing'!J141/12</f>
        <v>38.026307078743756</v>
      </c>
    </row>
    <row r="40" spans="2:11">
      <c r="B40" s="220"/>
      <c r="C40" s="183" t="s">
        <v>165</v>
      </c>
      <c r="D40" s="194"/>
      <c r="E40" s="490">
        <f t="shared" ref="E40:K40" si="8">SUM(E34:E39)</f>
        <v>17.693188888888887</v>
      </c>
      <c r="F40" s="490">
        <f t="shared" si="8"/>
        <v>21.163738333333338</v>
      </c>
      <c r="G40" s="490">
        <f t="shared" si="8"/>
        <v>24.081716000000004</v>
      </c>
      <c r="H40" s="490">
        <f t="shared" si="8"/>
        <v>27.457557816666668</v>
      </c>
      <c r="I40" s="490">
        <f t="shared" si="8"/>
        <v>30.791019139583337</v>
      </c>
      <c r="J40" s="490">
        <f t="shared" si="8"/>
        <v>34.323708320562503</v>
      </c>
      <c r="K40" s="490">
        <f t="shared" si="8"/>
        <v>38.026307078743756</v>
      </c>
    </row>
    <row r="41" spans="2:11">
      <c r="B41" s="321"/>
      <c r="C41" s="183"/>
      <c r="D41" s="320"/>
      <c r="E41" s="490"/>
      <c r="F41" s="490"/>
      <c r="G41" s="490"/>
      <c r="H41" s="490"/>
      <c r="I41" s="490"/>
      <c r="J41" s="490"/>
      <c r="K41" s="490"/>
    </row>
    <row r="42" spans="2:11">
      <c r="B42" s="182" t="s">
        <v>168</v>
      </c>
      <c r="C42" s="183" t="s">
        <v>333</v>
      </c>
      <c r="D42" s="194"/>
      <c r="E42" s="490">
        <f>'5.Closing Stock &amp; W Capital'!E21</f>
        <v>8.9799999999999986</v>
      </c>
      <c r="F42" s="490">
        <f>'5.Closing Stock &amp; W Capital'!F21</f>
        <v>10.342500000000001</v>
      </c>
      <c r="G42" s="490">
        <f>'5.Closing Stock &amp; W Capital'!G21</f>
        <v>11.4991</v>
      </c>
      <c r="H42" s="490">
        <f>'5.Closing Stock &amp; W Capital'!H21</f>
        <v>12.930702500000001</v>
      </c>
      <c r="I42" s="490">
        <f>'5.Closing Stock &amp; W Capital'!I21</f>
        <v>14.282161250000001</v>
      </c>
      <c r="J42" s="490">
        <f>'5.Closing Stock &amp; W Capital'!J21</f>
        <v>15.940707668750004</v>
      </c>
      <c r="K42" s="490">
        <f>'5.Closing Stock &amp; W Capital'!K21</f>
        <v>19.323963523750002</v>
      </c>
    </row>
    <row r="43" spans="2:11">
      <c r="B43" s="182"/>
      <c r="C43" s="185"/>
      <c r="D43" s="194"/>
      <c r="E43" s="490"/>
      <c r="F43" s="490"/>
      <c r="G43" s="490"/>
      <c r="H43" s="490"/>
      <c r="I43" s="490"/>
      <c r="J43" s="490"/>
      <c r="K43" s="490"/>
    </row>
    <row r="44" spans="2:11">
      <c r="B44" s="729" t="s">
        <v>1</v>
      </c>
      <c r="C44" s="730"/>
      <c r="D44" s="205"/>
      <c r="E44" s="491">
        <f>SUM(E40:E42)</f>
        <v>26.673188888888888</v>
      </c>
      <c r="F44" s="491">
        <f t="shared" ref="F44:K44" si="9">SUM(F40:F42)</f>
        <v>31.506238333333339</v>
      </c>
      <c r="G44" s="491">
        <f t="shared" si="9"/>
        <v>35.580816000000006</v>
      </c>
      <c r="H44" s="491">
        <f t="shared" si="9"/>
        <v>40.388260316666667</v>
      </c>
      <c r="I44" s="491">
        <f t="shared" si="9"/>
        <v>45.073180389583342</v>
      </c>
      <c r="J44" s="491">
        <f t="shared" si="9"/>
        <v>50.264415989312511</v>
      </c>
      <c r="K44" s="491">
        <f t="shared" si="9"/>
        <v>57.350270602493758</v>
      </c>
    </row>
    <row r="45" spans="2:11">
      <c r="B45" s="182"/>
      <c r="C45" s="183"/>
      <c r="D45" s="194"/>
      <c r="E45" s="490"/>
      <c r="F45" s="490"/>
      <c r="G45" s="490"/>
      <c r="H45" s="490"/>
      <c r="I45" s="490"/>
      <c r="J45" s="490"/>
      <c r="K45" s="490"/>
    </row>
    <row r="46" spans="2:11" ht="34.5" customHeight="1">
      <c r="B46" s="182" t="s">
        <v>169</v>
      </c>
      <c r="C46" s="185" t="s">
        <v>335</v>
      </c>
      <c r="D46" s="194"/>
      <c r="E46" s="490"/>
      <c r="F46" s="490"/>
      <c r="G46" s="490"/>
      <c r="H46" s="490"/>
      <c r="I46" s="490"/>
      <c r="J46" s="490"/>
      <c r="K46" s="490"/>
    </row>
    <row r="47" spans="2:11">
      <c r="B47" s="234">
        <v>1</v>
      </c>
      <c r="C47" s="185" t="str">
        <f t="shared" ref="C47:C52" si="10">C34</f>
        <v>Agri Input</v>
      </c>
      <c r="D47" s="194">
        <v>7</v>
      </c>
      <c r="E47" s="490">
        <v>0</v>
      </c>
      <c r="F47" s="490">
        <v>0</v>
      </c>
      <c r="G47" s="490">
        <v>0</v>
      </c>
      <c r="H47" s="490">
        <v>0</v>
      </c>
      <c r="I47" s="490">
        <v>0</v>
      </c>
      <c r="J47" s="490">
        <v>0</v>
      </c>
      <c r="K47" s="490">
        <v>0</v>
      </c>
    </row>
    <row r="48" spans="2:11">
      <c r="B48" s="234">
        <v>2</v>
      </c>
      <c r="C48" s="185" t="str">
        <f t="shared" si="10"/>
        <v>Custom Hiring</v>
      </c>
      <c r="D48" s="194">
        <v>7</v>
      </c>
      <c r="E48" s="490">
        <f>('15. Facility 4 Custom Hiring'!E49/365)*$D$49</f>
        <v>0</v>
      </c>
      <c r="F48" s="490">
        <f>('15. Facility 4 Custom Hiring'!F49/365)*$D$49</f>
        <v>0</v>
      </c>
      <c r="G48" s="490">
        <f>('15. Facility 4 Custom Hiring'!G49/365)*$D$49</f>
        <v>0</v>
      </c>
      <c r="H48" s="490">
        <f>('15. Facility 4 Custom Hiring'!H49/365)*$D$49</f>
        <v>0</v>
      </c>
      <c r="I48" s="490">
        <f>('15. Facility 4 Custom Hiring'!I49/365)*$D$49</f>
        <v>0</v>
      </c>
      <c r="J48" s="490">
        <f>('15. Facility 4 Custom Hiring'!J49/365)*$D$49</f>
        <v>0</v>
      </c>
      <c r="K48" s="490">
        <f>('15. Facility 4 Custom Hiring'!K49/365)*$D$49</f>
        <v>0</v>
      </c>
    </row>
    <row r="49" spans="2:12">
      <c r="B49" s="234">
        <v>3</v>
      </c>
      <c r="C49" s="185" t="str">
        <f t="shared" si="10"/>
        <v>Cleaning &amp; Grading</v>
      </c>
      <c r="D49" s="194">
        <v>7</v>
      </c>
      <c r="E49" s="490">
        <v>0</v>
      </c>
      <c r="F49" s="490">
        <v>0</v>
      </c>
      <c r="G49" s="490">
        <v>0</v>
      </c>
      <c r="H49" s="490">
        <v>0</v>
      </c>
      <c r="I49" s="490">
        <v>0</v>
      </c>
      <c r="J49" s="490">
        <v>0</v>
      </c>
      <c r="K49" s="490">
        <v>0</v>
      </c>
    </row>
    <row r="50" spans="2:12">
      <c r="B50" s="234">
        <v>4</v>
      </c>
      <c r="C50" s="185" t="str">
        <f t="shared" si="10"/>
        <v>Dal Mill</v>
      </c>
      <c r="D50" s="194">
        <v>7</v>
      </c>
      <c r="E50" s="490">
        <f>('17.Facility 6 F &amp; V Processing '!D169/365)*$D$50</f>
        <v>0</v>
      </c>
      <c r="F50" s="490">
        <f>('17.Facility 6 F &amp; V Processing '!E169/365)*$D$50</f>
        <v>0</v>
      </c>
      <c r="G50" s="490">
        <f>('17.Facility 6 F &amp; V Processing '!F169/365)*$D$50</f>
        <v>0</v>
      </c>
      <c r="H50" s="490">
        <f>('17.Facility 6 F &amp; V Processing '!G169/365)*$D$50</f>
        <v>0</v>
      </c>
      <c r="I50" s="490">
        <f>('17.Facility 6 F &amp; V Processing '!H169/365)*$D$50</f>
        <v>0</v>
      </c>
      <c r="J50" s="490">
        <f>('17.Facility 6 F &amp; V Processing '!I169/365)*$D$50</f>
        <v>0</v>
      </c>
      <c r="K50" s="490">
        <f>('17.Facility 6 F &amp; V Processing '!J169/365)*$D$50</f>
        <v>0</v>
      </c>
    </row>
    <row r="51" spans="2:12">
      <c r="B51" s="234">
        <v>5</v>
      </c>
      <c r="C51" s="185" t="str">
        <f t="shared" si="10"/>
        <v>Warehouse</v>
      </c>
      <c r="D51" s="194">
        <v>7</v>
      </c>
      <c r="E51" s="490">
        <f>('14. Facility 3 Warehouse'!D34/365)*$D$51</f>
        <v>0</v>
      </c>
      <c r="F51" s="490">
        <f>('14. Facility 3 Warehouse'!E34/365)*$D$51</f>
        <v>0</v>
      </c>
      <c r="G51" s="490">
        <f>('14. Facility 3 Warehouse'!F34/365)*$D$51</f>
        <v>0</v>
      </c>
      <c r="H51" s="490">
        <f>('14. Facility 3 Warehouse'!G34/365)*$D$51</f>
        <v>0</v>
      </c>
      <c r="I51" s="490">
        <f>('14. Facility 3 Warehouse'!H34/365)*$D$51</f>
        <v>0</v>
      </c>
      <c r="J51" s="490">
        <f>('14. Facility 3 Warehouse'!I34/365)*$D$51</f>
        <v>0</v>
      </c>
      <c r="K51" s="490">
        <f>('14. Facility 3 Warehouse'!J34/365)*$D$51</f>
        <v>0</v>
      </c>
    </row>
    <row r="52" spans="2:12">
      <c r="B52" s="234"/>
      <c r="C52" s="185" t="str">
        <f t="shared" si="10"/>
        <v>Processing Unit - Oil Mill</v>
      </c>
      <c r="D52" s="194">
        <v>30</v>
      </c>
      <c r="E52" s="490">
        <f>+(+SUM('13.Facility 2 Grain Processing'!D149:D157)+'13.Facility 2 Grain Processing'!D172+'3.Other Exp &amp; Taxes'!C18)/12</f>
        <v>15.288597042251462</v>
      </c>
      <c r="F52" s="490">
        <f>+(+SUM('13.Facility 2 Grain Processing'!E149:E157)+'13.Facility 2 Grain Processing'!E172+'3.Other Exp &amp; Taxes'!D18)/12</f>
        <v>17.350099453428367</v>
      </c>
      <c r="G52" s="490">
        <f>+(+SUM('13.Facility 2 Grain Processing'!F149:F157)+'13.Facility 2 Grain Processing'!F172+'3.Other Exp &amp; Taxes'!E18)/12</f>
        <v>19.62482245650914</v>
      </c>
      <c r="H52" s="490">
        <f>+(+SUM('13.Facility 2 Grain Processing'!G149:G157)+'13.Facility 2 Grain Processing'!G172+'3.Other Exp &amp; Taxes'!F18)/12</f>
        <v>22.160527215591909</v>
      </c>
      <c r="I52" s="490">
        <f>+(+SUM('13.Facility 2 Grain Processing'!H149:H157)+'13.Facility 2 Grain Processing'!H172+'3.Other Exp &amp; Taxes'!G18)/12</f>
        <v>24.711995006853964</v>
      </c>
      <c r="J52" s="490">
        <f>+(+SUM('13.Facility 2 Grain Processing'!I149:I157)+'13.Facility 2 Grain Processing'!I172+'3.Other Exp &amp; Taxes'!H18)/12</f>
        <v>27.488583079133793</v>
      </c>
      <c r="K52" s="490">
        <f>+(+SUM('13.Facility 2 Grain Processing'!J149:J157)+'13.Facility 2 Grain Processing'!J172+'3.Other Exp &amp; Taxes'!I18)/12</f>
        <v>30.679242420937157</v>
      </c>
    </row>
    <row r="53" spans="2:12">
      <c r="B53" s="234"/>
      <c r="C53" s="185"/>
      <c r="D53" s="194"/>
      <c r="E53" s="490"/>
      <c r="F53" s="490"/>
      <c r="G53" s="490"/>
      <c r="H53" s="490"/>
      <c r="I53" s="490"/>
      <c r="J53" s="490"/>
      <c r="K53" s="490"/>
    </row>
    <row r="54" spans="2:12">
      <c r="B54" s="177"/>
      <c r="C54" s="183" t="s">
        <v>1</v>
      </c>
      <c r="D54" s="194"/>
      <c r="E54" s="491">
        <f>SUM(E47:E53)</f>
        <v>15.288597042251462</v>
      </c>
      <c r="F54" s="491">
        <f t="shared" ref="F54:K54" si="11">SUM(F47:F53)</f>
        <v>17.350099453428367</v>
      </c>
      <c r="G54" s="491">
        <f t="shared" si="11"/>
        <v>19.62482245650914</v>
      </c>
      <c r="H54" s="491">
        <f t="shared" si="11"/>
        <v>22.160527215591909</v>
      </c>
      <c r="I54" s="491">
        <f t="shared" si="11"/>
        <v>24.711995006853964</v>
      </c>
      <c r="J54" s="491">
        <f t="shared" si="11"/>
        <v>27.488583079133793</v>
      </c>
      <c r="K54" s="491">
        <f t="shared" si="11"/>
        <v>30.679242420937157</v>
      </c>
    </row>
    <row r="55" spans="2:12">
      <c r="B55" s="182" t="s">
        <v>170</v>
      </c>
      <c r="C55" s="183" t="s">
        <v>152</v>
      </c>
      <c r="D55" s="194"/>
      <c r="E55" s="491">
        <f>E44-E54</f>
        <v>11.384591846637425</v>
      </c>
      <c r="F55" s="491">
        <f t="shared" ref="F55:K55" si="12">F44-F54</f>
        <v>14.156138879904972</v>
      </c>
      <c r="G55" s="491">
        <f t="shared" si="12"/>
        <v>15.955993543490866</v>
      </c>
      <c r="H55" s="491">
        <f t="shared" si="12"/>
        <v>18.227733101074758</v>
      </c>
      <c r="I55" s="491">
        <f t="shared" si="12"/>
        <v>20.361185382729378</v>
      </c>
      <c r="J55" s="491">
        <f t="shared" si="12"/>
        <v>22.775832910178718</v>
      </c>
      <c r="K55" s="491">
        <f t="shared" si="12"/>
        <v>26.671028181556601</v>
      </c>
    </row>
    <row r="56" spans="2:12" ht="42.75">
      <c r="B56" s="321"/>
      <c r="C56" s="183" t="s">
        <v>796</v>
      </c>
      <c r="D56" s="492">
        <v>0.75</v>
      </c>
      <c r="E56" s="491">
        <f>+E55*$D$56</f>
        <v>8.5384438849780686</v>
      </c>
      <c r="F56" s="491">
        <f t="shared" ref="F56:K56" si="13">+F55*$D$56</f>
        <v>10.617104159928729</v>
      </c>
      <c r="G56" s="491">
        <f t="shared" si="13"/>
        <v>11.96699515761815</v>
      </c>
      <c r="H56" s="491">
        <f t="shared" si="13"/>
        <v>13.670799825806068</v>
      </c>
      <c r="I56" s="491">
        <f t="shared" si="13"/>
        <v>15.270889037047034</v>
      </c>
      <c r="J56" s="491">
        <f t="shared" si="13"/>
        <v>17.081874682634037</v>
      </c>
      <c r="K56" s="491">
        <f t="shared" si="13"/>
        <v>20.003271136167449</v>
      </c>
    </row>
    <row r="57" spans="2:12">
      <c r="B57" s="182"/>
      <c r="C57" s="183" t="s">
        <v>130</v>
      </c>
      <c r="D57" s="243">
        <v>0.25</v>
      </c>
      <c r="E57" s="491">
        <f>+E55*$D$57</f>
        <v>2.8461479616593564</v>
      </c>
      <c r="F57" s="491">
        <f t="shared" ref="F57:K57" si="14">+F55*$D$57</f>
        <v>3.5390347199762431</v>
      </c>
      <c r="G57" s="491">
        <f t="shared" si="14"/>
        <v>3.9889983858727165</v>
      </c>
      <c r="H57" s="491">
        <f t="shared" si="14"/>
        <v>4.5569332752686895</v>
      </c>
      <c r="I57" s="491">
        <f t="shared" si="14"/>
        <v>5.0902963456823445</v>
      </c>
      <c r="J57" s="491">
        <f t="shared" si="14"/>
        <v>5.6939582275446794</v>
      </c>
      <c r="K57" s="491">
        <f t="shared" si="14"/>
        <v>6.6677570453891502</v>
      </c>
    </row>
    <row r="59" spans="2:12">
      <c r="E59" s="27"/>
    </row>
    <row r="60" spans="2:12" ht="36.950000000000003" customHeight="1">
      <c r="B60" s="727" t="s">
        <v>394</v>
      </c>
      <c r="C60" s="727"/>
      <c r="D60" s="727"/>
      <c r="E60" s="727"/>
      <c r="F60" s="727"/>
      <c r="G60" s="727"/>
      <c r="H60" s="727"/>
      <c r="I60" s="727"/>
      <c r="J60" s="727"/>
      <c r="K60" s="727"/>
      <c r="L60" s="617"/>
    </row>
    <row r="61" spans="2:12">
      <c r="B61" t="s">
        <v>484</v>
      </c>
    </row>
    <row r="62" spans="2:12">
      <c r="B62">
        <v>1</v>
      </c>
      <c r="C62" t="s">
        <v>805</v>
      </c>
    </row>
    <row r="63" spans="2:12">
      <c r="B63">
        <v>2</v>
      </c>
      <c r="C63" t="s">
        <v>806</v>
      </c>
    </row>
    <row r="64" spans="2:12">
      <c r="B64">
        <v>3</v>
      </c>
      <c r="C64" t="s">
        <v>807</v>
      </c>
    </row>
    <row r="69" spans="3:14">
      <c r="C69" s="326" t="s">
        <v>721</v>
      </c>
      <c r="D69" s="326" t="s">
        <v>0</v>
      </c>
      <c r="E69" s="326" t="s">
        <v>2</v>
      </c>
      <c r="F69" s="326" t="s">
        <v>3</v>
      </c>
      <c r="G69" s="326" t="s">
        <v>4</v>
      </c>
      <c r="H69" s="326" t="s">
        <v>5</v>
      </c>
      <c r="I69" s="326" t="s">
        <v>6</v>
      </c>
      <c r="J69" s="326" t="s">
        <v>163</v>
      </c>
      <c r="K69" s="326" t="s">
        <v>162</v>
      </c>
      <c r="L69" s="326" t="s">
        <v>653</v>
      </c>
      <c r="M69" s="326" t="s">
        <v>654</v>
      </c>
      <c r="N69" s="326" t="s">
        <v>655</v>
      </c>
    </row>
    <row r="70" spans="3:14">
      <c r="C70" s="333"/>
      <c r="D70" s="333"/>
      <c r="E70" s="333"/>
      <c r="F70" s="333"/>
      <c r="G70" s="333"/>
      <c r="H70" s="333"/>
      <c r="I70" s="333"/>
      <c r="J70" s="317"/>
      <c r="K70" s="317"/>
      <c r="L70" s="317"/>
      <c r="M70" s="317"/>
      <c r="N70" s="317"/>
    </row>
    <row r="71" spans="3:14">
      <c r="C71" s="389">
        <v>1</v>
      </c>
      <c r="D71" s="333" t="s">
        <v>722</v>
      </c>
      <c r="E71" s="390">
        <f>[1]BS!E102</f>
        <v>0</v>
      </c>
      <c r="F71" s="390">
        <f>[1]BS!F102</f>
        <v>0</v>
      </c>
      <c r="G71" s="390">
        <f>[1]BS!G102</f>
        <v>0</v>
      </c>
      <c r="H71" s="390">
        <f>[1]BS!H102</f>
        <v>0</v>
      </c>
      <c r="I71" s="390">
        <f>[1]BS!I102</f>
        <v>0</v>
      </c>
      <c r="J71" s="390">
        <f>[1]BS!J102</f>
        <v>0</v>
      </c>
      <c r="K71" s="390">
        <f>[1]BS!K102</f>
        <v>0</v>
      </c>
      <c r="L71" s="390">
        <f>[1]BS!L102</f>
        <v>0</v>
      </c>
      <c r="M71" s="390">
        <f>[1]BS!M102</f>
        <v>0</v>
      </c>
      <c r="N71" s="390">
        <f>[1]BS!N102</f>
        <v>0</v>
      </c>
    </row>
    <row r="72" spans="3:14">
      <c r="C72" s="389">
        <v>2</v>
      </c>
      <c r="D72" s="333" t="s">
        <v>723</v>
      </c>
      <c r="E72" s="390">
        <f>[1]BS!E106+[1]BS!E107</f>
        <v>0</v>
      </c>
      <c r="F72" s="390">
        <f>[1]BS!F106+[1]BS!F107</f>
        <v>0</v>
      </c>
      <c r="G72" s="390">
        <f>[1]BS!G106+[1]BS!G107</f>
        <v>0</v>
      </c>
      <c r="H72" s="390">
        <f>[1]BS!H106+[1]BS!H107</f>
        <v>0</v>
      </c>
      <c r="I72" s="390">
        <f>[1]BS!I106+[1]BS!I107</f>
        <v>0</v>
      </c>
      <c r="J72" s="390">
        <f>[1]BS!J106+[1]BS!J107</f>
        <v>0</v>
      </c>
      <c r="K72" s="390">
        <f>[1]BS!K106+[1]BS!K107</f>
        <v>0</v>
      </c>
      <c r="L72" s="390">
        <f>[1]BS!L106+[1]BS!L107</f>
        <v>0</v>
      </c>
      <c r="M72" s="390">
        <f>[1]BS!M106+[1]BS!M107</f>
        <v>0</v>
      </c>
      <c r="N72" s="390">
        <f>[1]BS!N106+[1]BS!N107</f>
        <v>0</v>
      </c>
    </row>
    <row r="73" spans="3:14">
      <c r="C73" s="389">
        <v>3</v>
      </c>
      <c r="D73" s="333" t="s">
        <v>724</v>
      </c>
      <c r="E73" s="391">
        <f>[1]BS!E88</f>
        <v>0</v>
      </c>
      <c r="F73" s="391">
        <f>[1]BS!F88</f>
        <v>0</v>
      </c>
      <c r="G73" s="391">
        <f>[1]BS!G88</f>
        <v>0</v>
      </c>
      <c r="H73" s="391">
        <f>[1]BS!H88</f>
        <v>0</v>
      </c>
      <c r="I73" s="391">
        <f>[1]BS!I88</f>
        <v>0</v>
      </c>
      <c r="J73" s="391">
        <f>[1]BS!J88</f>
        <v>0</v>
      </c>
      <c r="K73" s="391">
        <f>[1]BS!K88</f>
        <v>0</v>
      </c>
      <c r="L73" s="391">
        <f>[1]BS!L88</f>
        <v>0</v>
      </c>
      <c r="M73" s="391">
        <f>[1]BS!M88</f>
        <v>0</v>
      </c>
      <c r="N73" s="391">
        <f>[1]BS!N88</f>
        <v>0</v>
      </c>
    </row>
    <row r="74" spans="3:14">
      <c r="C74" s="391"/>
      <c r="D74" s="333"/>
      <c r="E74" s="391"/>
      <c r="F74" s="391"/>
      <c r="G74" s="391"/>
      <c r="H74" s="391"/>
      <c r="I74" s="391"/>
      <c r="J74" s="391"/>
      <c r="K74" s="391"/>
      <c r="L74" s="317"/>
      <c r="M74" s="317"/>
      <c r="N74" s="317"/>
    </row>
    <row r="75" spans="3:14">
      <c r="C75" s="392"/>
      <c r="D75" s="333" t="s">
        <v>725</v>
      </c>
      <c r="E75" s="393">
        <f t="shared" ref="E75:N75" si="15">E71+E72-E73</f>
        <v>0</v>
      </c>
      <c r="F75" s="393">
        <f t="shared" si="15"/>
        <v>0</v>
      </c>
      <c r="G75" s="393">
        <f t="shared" si="15"/>
        <v>0</v>
      </c>
      <c r="H75" s="393">
        <f t="shared" si="15"/>
        <v>0</v>
      </c>
      <c r="I75" s="393">
        <f t="shared" si="15"/>
        <v>0</v>
      </c>
      <c r="J75" s="393">
        <f t="shared" si="15"/>
        <v>0</v>
      </c>
      <c r="K75" s="393">
        <f t="shared" si="15"/>
        <v>0</v>
      </c>
      <c r="L75" s="393">
        <f t="shared" si="15"/>
        <v>0</v>
      </c>
      <c r="M75" s="393">
        <f t="shared" si="15"/>
        <v>0</v>
      </c>
      <c r="N75" s="393">
        <f t="shared" si="15"/>
        <v>0</v>
      </c>
    </row>
    <row r="76" spans="3:14">
      <c r="C76" s="392"/>
      <c r="D76" s="333"/>
      <c r="E76" s="391"/>
      <c r="F76" s="391"/>
      <c r="G76" s="391"/>
      <c r="H76" s="391"/>
      <c r="I76" s="391"/>
      <c r="J76" s="391"/>
      <c r="K76" s="391"/>
      <c r="L76" s="317"/>
      <c r="M76" s="317"/>
      <c r="N76" s="317"/>
    </row>
    <row r="77" spans="3:14">
      <c r="C77" s="392"/>
      <c r="D77" s="333"/>
      <c r="E77" s="391"/>
      <c r="F77" s="391"/>
      <c r="G77" s="391"/>
      <c r="H77" s="391"/>
      <c r="I77" s="391"/>
      <c r="J77" s="391"/>
      <c r="K77" s="391"/>
      <c r="L77" s="317"/>
      <c r="M77" s="317"/>
      <c r="N77" s="317"/>
    </row>
    <row r="78" spans="3:14" ht="75">
      <c r="C78" s="394"/>
      <c r="D78" s="395" t="s">
        <v>726</v>
      </c>
      <c r="E78" s="396">
        <f>E71+E72-E73</f>
        <v>0</v>
      </c>
      <c r="F78" s="396">
        <f t="shared" ref="F78:N78" si="16">F71+F72-F73</f>
        <v>0</v>
      </c>
      <c r="G78" s="396">
        <f t="shared" si="16"/>
        <v>0</v>
      </c>
      <c r="H78" s="396">
        <f t="shared" si="16"/>
        <v>0</v>
      </c>
      <c r="I78" s="396">
        <f t="shared" si="16"/>
        <v>0</v>
      </c>
      <c r="J78" s="396">
        <f t="shared" si="16"/>
        <v>0</v>
      </c>
      <c r="K78" s="396">
        <f t="shared" si="16"/>
        <v>0</v>
      </c>
      <c r="L78" s="396">
        <f t="shared" si="16"/>
        <v>0</v>
      </c>
      <c r="M78" s="396">
        <f t="shared" si="16"/>
        <v>0</v>
      </c>
      <c r="N78" s="396">
        <f t="shared" si="16"/>
        <v>0</v>
      </c>
    </row>
    <row r="79" spans="3:14">
      <c r="C79" s="392"/>
      <c r="D79" s="333"/>
      <c r="E79" s="333"/>
      <c r="F79" s="333"/>
      <c r="G79" s="333"/>
      <c r="H79" s="333"/>
      <c r="I79" s="333"/>
      <c r="J79" s="317"/>
      <c r="K79" s="317"/>
      <c r="L79" s="317"/>
      <c r="M79" s="317"/>
      <c r="N79" s="317"/>
    </row>
    <row r="80" spans="3:14">
      <c r="C80" s="392"/>
      <c r="D80" s="333" t="s">
        <v>727</v>
      </c>
      <c r="E80" s="393">
        <f>E78*0.25</f>
        <v>0</v>
      </c>
      <c r="F80" s="393">
        <f t="shared" ref="F80:N80" si="17">F78*0.25</f>
        <v>0</v>
      </c>
      <c r="G80" s="393">
        <f t="shared" si="17"/>
        <v>0</v>
      </c>
      <c r="H80" s="393">
        <f t="shared" si="17"/>
        <v>0</v>
      </c>
      <c r="I80" s="393">
        <f t="shared" si="17"/>
        <v>0</v>
      </c>
      <c r="J80" s="393">
        <f t="shared" si="17"/>
        <v>0</v>
      </c>
      <c r="K80" s="393">
        <f t="shared" si="17"/>
        <v>0</v>
      </c>
      <c r="L80" s="393">
        <f t="shared" si="17"/>
        <v>0</v>
      </c>
      <c r="M80" s="393">
        <f t="shared" si="17"/>
        <v>0</v>
      </c>
      <c r="N80" s="393">
        <f t="shared" si="17"/>
        <v>0</v>
      </c>
    </row>
    <row r="81" spans="3:14">
      <c r="C81" s="392"/>
      <c r="D81" s="333"/>
      <c r="E81" s="333"/>
      <c r="F81" s="333"/>
      <c r="G81" s="333"/>
      <c r="H81" s="333"/>
      <c r="I81" s="333"/>
      <c r="J81" s="317"/>
      <c r="K81" s="317"/>
      <c r="L81" s="317"/>
      <c r="M81" s="317"/>
      <c r="N81" s="317"/>
    </row>
    <row r="82" spans="3:14" ht="60">
      <c r="C82" s="392"/>
      <c r="D82" s="397" t="s">
        <v>728</v>
      </c>
      <c r="E82" s="393">
        <f>E78-E80</f>
        <v>0</v>
      </c>
      <c r="F82" s="393">
        <f t="shared" ref="F82:N82" si="18">F78-F80</f>
        <v>0</v>
      </c>
      <c r="G82" s="393">
        <f t="shared" si="18"/>
        <v>0</v>
      </c>
      <c r="H82" s="393">
        <f t="shared" si="18"/>
        <v>0</v>
      </c>
      <c r="I82" s="393">
        <f t="shared" si="18"/>
        <v>0</v>
      </c>
      <c r="J82" s="393">
        <f t="shared" si="18"/>
        <v>0</v>
      </c>
      <c r="K82" s="393">
        <f t="shared" si="18"/>
        <v>0</v>
      </c>
      <c r="L82" s="393">
        <f t="shared" si="18"/>
        <v>0</v>
      </c>
      <c r="M82" s="393">
        <f t="shared" si="18"/>
        <v>0</v>
      </c>
      <c r="N82" s="393">
        <f t="shared" si="18"/>
        <v>0</v>
      </c>
    </row>
  </sheetData>
  <mergeCells count="13">
    <mergeCell ref="B60:K60"/>
    <mergeCell ref="N6:R6"/>
    <mergeCell ref="U5:V5"/>
    <mergeCell ref="U6:V6"/>
    <mergeCell ref="B44:C44"/>
    <mergeCell ref="C2:K2"/>
    <mergeCell ref="N5:R5"/>
    <mergeCell ref="B28:K28"/>
    <mergeCell ref="B30:B31"/>
    <mergeCell ref="C30:C31"/>
    <mergeCell ref="D30:D31"/>
    <mergeCell ref="E30:K30"/>
    <mergeCell ref="C23:K23"/>
  </mergeCells>
  <pageMargins left="0.7" right="0.7" top="0.75" bottom="0.75" header="0.3" footer="0.3"/>
  <pageSetup paperSize="9" scale="54" orientation="portrait" horizontalDpi="4294967292"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65"/>
  <sheetViews>
    <sheetView view="pageBreakPreview" topLeftCell="A35" zoomScale="80" zoomScaleSheetLayoutView="80" workbookViewId="0">
      <selection activeCell="A5" sqref="A5:H63"/>
    </sheetView>
  </sheetViews>
  <sheetFormatPr defaultRowHeight="15"/>
  <cols>
    <col min="1" max="1" width="40.5703125" style="366" bestFit="1" customWidth="1"/>
    <col min="2" max="8" width="11" style="366" customWidth="1"/>
    <col min="9" max="9" width="8.5703125" style="366" customWidth="1"/>
    <col min="10" max="10" width="10.140625" style="366" bestFit="1" customWidth="1"/>
    <col min="11" max="11" width="9.5703125" style="366" bestFit="1" customWidth="1"/>
    <col min="12" max="16384" width="9.140625" style="366"/>
  </cols>
  <sheetData>
    <row r="2" spans="1:8" ht="18.75">
      <c r="A2" s="731" t="s">
        <v>503</v>
      </c>
      <c r="B2" s="731"/>
      <c r="C2" s="731"/>
      <c r="D2" s="731"/>
      <c r="E2" s="731"/>
      <c r="F2" s="731"/>
      <c r="G2" s="731"/>
      <c r="H2" s="731"/>
    </row>
    <row r="5" spans="1:8">
      <c r="A5" s="398" t="s">
        <v>0</v>
      </c>
      <c r="B5" s="399" t="s">
        <v>2</v>
      </c>
      <c r="C5" s="399" t="s">
        <v>3</v>
      </c>
      <c r="D5" s="399" t="s">
        <v>4</v>
      </c>
      <c r="E5" s="399" t="s">
        <v>5</v>
      </c>
      <c r="F5" s="399" t="s">
        <v>6</v>
      </c>
      <c r="G5" s="399" t="s">
        <v>163</v>
      </c>
      <c r="H5" s="399" t="s">
        <v>162</v>
      </c>
    </row>
    <row r="6" spans="1:8">
      <c r="A6" s="400" t="s">
        <v>124</v>
      </c>
      <c r="B6" s="364"/>
      <c r="C6" s="364"/>
      <c r="D6" s="364"/>
      <c r="E6" s="364"/>
      <c r="F6" s="364"/>
      <c r="G6" s="364"/>
      <c r="H6" s="364"/>
    </row>
    <row r="7" spans="1:8">
      <c r="A7" s="364"/>
      <c r="B7" s="364"/>
      <c r="C7" s="364"/>
      <c r="D7" s="364"/>
      <c r="E7" s="364"/>
      <c r="F7" s="364"/>
      <c r="G7" s="364"/>
      <c r="H7" s="364"/>
    </row>
    <row r="8" spans="1:8">
      <c r="A8" s="364" t="s">
        <v>462</v>
      </c>
      <c r="B8" s="363">
        <v>0</v>
      </c>
      <c r="C8" s="363">
        <v>0</v>
      </c>
      <c r="D8" s="363">
        <v>0</v>
      </c>
      <c r="E8" s="363">
        <v>0</v>
      </c>
      <c r="F8" s="363">
        <v>0</v>
      </c>
      <c r="G8" s="363">
        <v>0</v>
      </c>
      <c r="H8" s="363">
        <v>0</v>
      </c>
    </row>
    <row r="9" spans="1:8">
      <c r="A9" s="364" t="s">
        <v>463</v>
      </c>
      <c r="B9" s="363">
        <f>'17.Facility 6 F &amp; V Processing '!D148</f>
        <v>0</v>
      </c>
      <c r="C9" s="363">
        <f>'17.Facility 6 F &amp; V Processing '!E148</f>
        <v>0</v>
      </c>
      <c r="D9" s="363">
        <f>'17.Facility 6 F &amp; V Processing '!F148</f>
        <v>0</v>
      </c>
      <c r="E9" s="363">
        <f>'17.Facility 6 F &amp; V Processing '!G148</f>
        <v>0</v>
      </c>
      <c r="F9" s="363">
        <f>'17.Facility 6 F &amp; V Processing '!H148</f>
        <v>0</v>
      </c>
      <c r="G9" s="363">
        <f>'17.Facility 6 F &amp; V Processing '!I148</f>
        <v>0</v>
      </c>
      <c r="H9" s="363">
        <f>'17.Facility 6 F &amp; V Processing '!J148</f>
        <v>0</v>
      </c>
    </row>
    <row r="10" spans="1:8">
      <c r="A10" s="364" t="s">
        <v>464</v>
      </c>
      <c r="B10" s="363">
        <f>'14. Facility 3 Warehouse'!D23</f>
        <v>0</v>
      </c>
      <c r="C10" s="363">
        <f>'14. Facility 3 Warehouse'!E23</f>
        <v>0</v>
      </c>
      <c r="D10" s="363">
        <f>'14. Facility 3 Warehouse'!F23</f>
        <v>0</v>
      </c>
      <c r="E10" s="363">
        <f>'14. Facility 3 Warehouse'!G23</f>
        <v>0</v>
      </c>
      <c r="F10" s="363">
        <f>'14. Facility 3 Warehouse'!H23</f>
        <v>0</v>
      </c>
      <c r="G10" s="363">
        <f>'14. Facility 3 Warehouse'!I23</f>
        <v>0</v>
      </c>
      <c r="H10" s="363">
        <f>'14. Facility 3 Warehouse'!J23</f>
        <v>0</v>
      </c>
    </row>
    <row r="11" spans="1:8">
      <c r="A11" s="364" t="s">
        <v>465</v>
      </c>
      <c r="B11" s="363">
        <f>'15. Facility 4 Custom Hiring'!E39</f>
        <v>0</v>
      </c>
      <c r="C11" s="363">
        <f>'15. Facility 4 Custom Hiring'!F39</f>
        <v>0</v>
      </c>
      <c r="D11" s="363">
        <f>'15. Facility 4 Custom Hiring'!G39</f>
        <v>0</v>
      </c>
      <c r="E11" s="363">
        <f>'15. Facility 4 Custom Hiring'!H39</f>
        <v>0</v>
      </c>
      <c r="F11" s="363">
        <f>'15. Facility 4 Custom Hiring'!I39</f>
        <v>0</v>
      </c>
      <c r="G11" s="363">
        <f>'15. Facility 4 Custom Hiring'!J39</f>
        <v>0</v>
      </c>
      <c r="H11" s="363">
        <f>'15. Facility 4 Custom Hiring'!K39</f>
        <v>0</v>
      </c>
    </row>
    <row r="12" spans="1:8">
      <c r="A12" s="364" t="s">
        <v>461</v>
      </c>
      <c r="B12" s="363">
        <v>0</v>
      </c>
      <c r="C12" s="363">
        <v>0</v>
      </c>
      <c r="D12" s="363">
        <v>0</v>
      </c>
      <c r="E12" s="363">
        <v>0</v>
      </c>
      <c r="F12" s="363">
        <v>0</v>
      </c>
      <c r="G12" s="363">
        <v>0</v>
      </c>
      <c r="H12" s="363">
        <v>0</v>
      </c>
    </row>
    <row r="13" spans="1:8">
      <c r="A13" s="364" t="s">
        <v>985</v>
      </c>
      <c r="B13" s="363">
        <f>+'13.Facility 2 Grain Processing'!D137</f>
        <v>189.35826666666665</v>
      </c>
      <c r="C13" s="363">
        <f>+'13.Facility 2 Grain Processing'!E137</f>
        <v>226.57166000000007</v>
      </c>
      <c r="D13" s="363">
        <f>+'13.Facility 2 Grain Processing'!F137</f>
        <v>258.24327200000005</v>
      </c>
      <c r="E13" s="363">
        <f>+'13.Facility 2 Grain Processing'!G137</f>
        <v>295.23833480000002</v>
      </c>
      <c r="F13" s="363">
        <f>+'13.Facility 2 Grain Processing'!H137</f>
        <v>331.54361757500004</v>
      </c>
      <c r="G13" s="363">
        <f>+'13.Facility 2 Grain Processing'!I137</f>
        <v>371.29781123425005</v>
      </c>
      <c r="H13" s="363">
        <f>+'13.Facility 2 Grain Processing'!J137</f>
        <v>411.60755369892507</v>
      </c>
    </row>
    <row r="14" spans="1:8">
      <c r="A14" s="364" t="s">
        <v>729</v>
      </c>
      <c r="B14" s="363">
        <f>+'13.Facility 2 Grain Processing'!D135</f>
        <v>12.96</v>
      </c>
      <c r="C14" s="363">
        <f>+'13.Facility 2 Grain Processing'!E135</f>
        <v>14.893200000000002</v>
      </c>
      <c r="D14" s="363">
        <f>+'13.Facility 2 Grain Processing'!F135</f>
        <v>16.987320000000004</v>
      </c>
      <c r="E14" s="363">
        <f>+'13.Facility 2 Grain Processing'!G135</f>
        <v>19.252359000000006</v>
      </c>
      <c r="F14" s="363">
        <f>+'13.Facility 2 Grain Processing'!H135</f>
        <v>21.698612100000005</v>
      </c>
      <c r="G14" s="363">
        <f>+'13.Facility 2 Grain Processing'!I135</f>
        <v>24.336688612500012</v>
      </c>
      <c r="H14" s="363">
        <f>+'13.Facility 2 Grain Processing'!J135</f>
        <v>27.208131246000015</v>
      </c>
    </row>
    <row r="15" spans="1:8">
      <c r="A15" s="364" t="s">
        <v>984</v>
      </c>
      <c r="B15" s="363">
        <f>+'13.Facility 2 Grain Processing'!D136</f>
        <v>10</v>
      </c>
      <c r="C15" s="363">
        <f>+'13.Facility 2 Grain Processing'!E136</f>
        <v>12.5</v>
      </c>
      <c r="D15" s="363">
        <f>+'13.Facility 2 Grain Processing'!F136</f>
        <v>13.750000000000002</v>
      </c>
      <c r="E15" s="363">
        <f>+'13.Facility 2 Grain Processing'!G136</f>
        <v>15.000000000000002</v>
      </c>
      <c r="F15" s="363">
        <f>+'13.Facility 2 Grain Processing'!H136</f>
        <v>16.250000000000004</v>
      </c>
      <c r="G15" s="363">
        <f>+'13.Facility 2 Grain Processing'!I136</f>
        <v>16.250000000000004</v>
      </c>
      <c r="H15" s="363">
        <f>+'13.Facility 2 Grain Processing'!J136</f>
        <v>17.5</v>
      </c>
    </row>
    <row r="16" spans="1:8">
      <c r="A16" s="364"/>
      <c r="B16" s="363"/>
      <c r="C16" s="363"/>
      <c r="D16" s="363"/>
      <c r="E16" s="363"/>
      <c r="F16" s="363"/>
      <c r="G16" s="363"/>
      <c r="H16" s="363"/>
    </row>
    <row r="17" spans="1:8">
      <c r="A17" s="364" t="s">
        <v>791</v>
      </c>
      <c r="B17" s="363">
        <f>+'13.Facility 2 Grain Processing'!C437</f>
        <v>0</v>
      </c>
      <c r="C17" s="363">
        <f>+'13.Facility 2 Grain Processing'!D437</f>
        <v>7.629999999999999</v>
      </c>
      <c r="D17" s="363">
        <f>+'13.Facility 2 Grain Processing'!E437</f>
        <v>8.9250000000000007</v>
      </c>
      <c r="E17" s="363">
        <f>+'13.Facility 2 Grain Processing'!F437</f>
        <v>10.010725000000001</v>
      </c>
      <c r="F17" s="363">
        <f>+'13.Facility 2 Grain Processing'!G437</f>
        <v>11.367883750000001</v>
      </c>
      <c r="G17" s="363">
        <f>+'13.Facility 2 Grain Processing'!H437</f>
        <v>12.641231562500002</v>
      </c>
      <c r="H17" s="363">
        <f>+'13.Facility 2 Grain Processing'!I437</f>
        <v>14.217696496875003</v>
      </c>
    </row>
    <row r="18" spans="1:8">
      <c r="A18" s="364" t="s">
        <v>792</v>
      </c>
      <c r="B18" s="363">
        <f>+'13.Facility 2 Grain Processing'!C438</f>
        <v>7.629999999999999</v>
      </c>
      <c r="C18" s="363">
        <f>+'13.Facility 2 Grain Processing'!D438</f>
        <v>8.9250000000000007</v>
      </c>
      <c r="D18" s="363">
        <f>+'13.Facility 2 Grain Processing'!E438</f>
        <v>10.010725000000001</v>
      </c>
      <c r="E18" s="363">
        <f>+'13.Facility 2 Grain Processing'!F438</f>
        <v>11.367883750000001</v>
      </c>
      <c r="F18" s="363">
        <f>+'13.Facility 2 Grain Processing'!G438</f>
        <v>12.641231562500002</v>
      </c>
      <c r="G18" s="363">
        <f>+'13.Facility 2 Grain Processing'!H438</f>
        <v>14.217696496875003</v>
      </c>
      <c r="H18" s="363">
        <f>+'13.Facility 2 Grain Processing'!I438</f>
        <v>17.514791793281251</v>
      </c>
    </row>
    <row r="19" spans="1:8">
      <c r="A19" s="400" t="s">
        <v>138</v>
      </c>
      <c r="B19" s="401">
        <f>+SUM(B8:B15)+B18-B17</f>
        <v>219.94826666666665</v>
      </c>
      <c r="C19" s="401">
        <f t="shared" ref="C19:H19" si="0">+SUM(C8:C15)+C18-C17</f>
        <v>255.25986000000006</v>
      </c>
      <c r="D19" s="401">
        <f t="shared" si="0"/>
        <v>290.06631700000003</v>
      </c>
      <c r="E19" s="401">
        <f t="shared" si="0"/>
        <v>330.84785255000003</v>
      </c>
      <c r="F19" s="401">
        <f t="shared" si="0"/>
        <v>370.76557748750008</v>
      </c>
      <c r="G19" s="401">
        <f t="shared" si="0"/>
        <v>413.46096478112503</v>
      </c>
      <c r="H19" s="401">
        <f t="shared" si="0"/>
        <v>459.61278024133128</v>
      </c>
    </row>
    <row r="20" spans="1:8">
      <c r="A20" s="364"/>
      <c r="B20" s="363"/>
      <c r="C20" s="363"/>
      <c r="D20" s="363"/>
      <c r="E20" s="363"/>
      <c r="F20" s="363"/>
      <c r="G20" s="363"/>
      <c r="H20" s="363"/>
    </row>
    <row r="21" spans="1:8">
      <c r="A21" s="400" t="s">
        <v>301</v>
      </c>
      <c r="B21" s="363"/>
      <c r="C21" s="363"/>
      <c r="D21" s="363"/>
      <c r="E21" s="363"/>
      <c r="F21" s="363"/>
      <c r="G21" s="363"/>
      <c r="H21" s="363"/>
    </row>
    <row r="22" spans="1:8">
      <c r="A22" s="364" t="str">
        <f t="shared" ref="A22:A27" si="1">A8</f>
        <v>Faclitiy 1 - Cleaning &amp; Grading</v>
      </c>
      <c r="B22" s="363">
        <v>0</v>
      </c>
      <c r="C22" s="363">
        <v>0</v>
      </c>
      <c r="D22" s="363">
        <v>0</v>
      </c>
      <c r="E22" s="363">
        <v>0</v>
      </c>
      <c r="F22" s="363">
        <v>0</v>
      </c>
      <c r="G22" s="363">
        <v>0</v>
      </c>
      <c r="H22" s="363">
        <v>0</v>
      </c>
    </row>
    <row r="23" spans="1:8">
      <c r="A23" s="364" t="str">
        <f t="shared" si="1"/>
        <v>Faclitiy 2 - Processing Unit- Dal Mill</v>
      </c>
      <c r="B23" s="363">
        <f>'17.Facility 6 F &amp; V Processing '!D169</f>
        <v>0</v>
      </c>
      <c r="C23" s="363">
        <f>'17.Facility 6 F &amp; V Processing '!E169</f>
        <v>0</v>
      </c>
      <c r="D23" s="363">
        <f>'17.Facility 6 F &amp; V Processing '!F169</f>
        <v>0</v>
      </c>
      <c r="E23" s="363">
        <f>'17.Facility 6 F &amp; V Processing '!G169</f>
        <v>0</v>
      </c>
      <c r="F23" s="363">
        <f>'17.Facility 6 F &amp; V Processing '!H169</f>
        <v>0</v>
      </c>
      <c r="G23" s="363">
        <f>'17.Facility 6 F &amp; V Processing '!I169</f>
        <v>0</v>
      </c>
      <c r="H23" s="363">
        <f>'17.Facility 6 F &amp; V Processing '!J169</f>
        <v>0</v>
      </c>
    </row>
    <row r="24" spans="1:8">
      <c r="A24" s="364" t="str">
        <f t="shared" si="1"/>
        <v>Faclitiy 3 - Warehouse</v>
      </c>
      <c r="B24" s="363">
        <f>'14. Facility 3 Warehouse'!D34</f>
        <v>0</v>
      </c>
      <c r="C24" s="363">
        <f>'14. Facility 3 Warehouse'!E34</f>
        <v>0</v>
      </c>
      <c r="D24" s="363">
        <f>'14. Facility 3 Warehouse'!F34</f>
        <v>0</v>
      </c>
      <c r="E24" s="363">
        <f>'14. Facility 3 Warehouse'!G34</f>
        <v>0</v>
      </c>
      <c r="F24" s="363">
        <f>'14. Facility 3 Warehouse'!H34</f>
        <v>0</v>
      </c>
      <c r="G24" s="363">
        <f>'14. Facility 3 Warehouse'!I34</f>
        <v>0</v>
      </c>
      <c r="H24" s="363">
        <f>'14. Facility 3 Warehouse'!J34</f>
        <v>0</v>
      </c>
    </row>
    <row r="25" spans="1:8">
      <c r="A25" s="364" t="str">
        <f t="shared" si="1"/>
        <v xml:space="preserve">Faclitiy 4 - Custom Hiring </v>
      </c>
      <c r="B25" s="363">
        <f>'15. Facility 4 Custom Hiring'!E49</f>
        <v>0</v>
      </c>
      <c r="C25" s="363">
        <f>'15. Facility 4 Custom Hiring'!F49</f>
        <v>0</v>
      </c>
      <c r="D25" s="363">
        <f>'15. Facility 4 Custom Hiring'!G49</f>
        <v>0</v>
      </c>
      <c r="E25" s="363">
        <f>'15. Facility 4 Custom Hiring'!H49</f>
        <v>0</v>
      </c>
      <c r="F25" s="363">
        <f>'15. Facility 4 Custom Hiring'!I49</f>
        <v>0</v>
      </c>
      <c r="G25" s="363">
        <f>'15. Facility 4 Custom Hiring'!J49</f>
        <v>0</v>
      </c>
      <c r="H25" s="363">
        <f>'15. Facility 4 Custom Hiring'!K49</f>
        <v>0</v>
      </c>
    </row>
    <row r="26" spans="1:8">
      <c r="A26" s="364" t="str">
        <f t="shared" si="1"/>
        <v>Faclitiy 5 - Agri Input Centre</v>
      </c>
      <c r="B26" s="363">
        <v>0</v>
      </c>
      <c r="C26" s="363">
        <v>0</v>
      </c>
      <c r="D26" s="363">
        <v>0</v>
      </c>
      <c r="E26" s="363">
        <v>0</v>
      </c>
      <c r="F26" s="363">
        <v>0</v>
      </c>
      <c r="G26" s="363">
        <v>0</v>
      </c>
      <c r="H26" s="363">
        <v>0</v>
      </c>
    </row>
    <row r="27" spans="1:8">
      <c r="A27" s="364" t="str">
        <f t="shared" si="1"/>
        <v>Facility 6 - Processing Unit - Oil Mill, Cleaning Grading &amp; Cattel Feed</v>
      </c>
      <c r="B27" s="363">
        <f>'13.Facility 2 Grain Processing'!D163</f>
        <v>164.23849880701755</v>
      </c>
      <c r="C27" s="363">
        <f>'13.Facility 2 Grain Processing'!E163</f>
        <v>189.36679445614041</v>
      </c>
      <c r="D27" s="363">
        <f>'13.Facility 2 Grain Processing'!F163</f>
        <v>215.72325054385965</v>
      </c>
      <c r="E27" s="363">
        <f>'13.Facility 2 Grain Processing'!G163</f>
        <v>245.16445170614037</v>
      </c>
      <c r="F27" s="363">
        <f>'13.Facility 2 Grain Processing'!H163</f>
        <v>274.74552645723696</v>
      </c>
      <c r="G27" s="363">
        <f>'13.Facility 2 Grain Processing'!I163</f>
        <v>306.9760976433443</v>
      </c>
      <c r="H27" s="363">
        <f>'13.Facility 2 Grain Processing'!J163</f>
        <v>344.12118977967168</v>
      </c>
    </row>
    <row r="28" spans="1:8">
      <c r="A28" s="364"/>
      <c r="B28" s="363"/>
      <c r="C28" s="363"/>
      <c r="D28" s="363"/>
      <c r="E28" s="363"/>
      <c r="F28" s="363"/>
      <c r="G28" s="363"/>
      <c r="H28" s="363"/>
    </row>
    <row r="29" spans="1:8">
      <c r="A29" s="400" t="s">
        <v>308</v>
      </c>
      <c r="B29" s="401">
        <f>SUM(B22:B28)</f>
        <v>164.23849880701755</v>
      </c>
      <c r="C29" s="401">
        <f t="shared" ref="C29:H29" si="2">SUM(C22:C28)</f>
        <v>189.36679445614041</v>
      </c>
      <c r="D29" s="401">
        <f t="shared" si="2"/>
        <v>215.72325054385965</v>
      </c>
      <c r="E29" s="401">
        <f t="shared" si="2"/>
        <v>245.16445170614037</v>
      </c>
      <c r="F29" s="401">
        <f t="shared" si="2"/>
        <v>274.74552645723696</v>
      </c>
      <c r="G29" s="401">
        <f t="shared" si="2"/>
        <v>306.9760976433443</v>
      </c>
      <c r="H29" s="401">
        <f t="shared" si="2"/>
        <v>344.12118977967168</v>
      </c>
    </row>
    <row r="30" spans="1:8">
      <c r="A30" s="364"/>
      <c r="B30" s="363"/>
      <c r="C30" s="363"/>
      <c r="D30" s="363"/>
      <c r="E30" s="363"/>
      <c r="F30" s="363"/>
      <c r="G30" s="363"/>
      <c r="H30" s="363"/>
    </row>
    <row r="31" spans="1:8">
      <c r="A31" s="400" t="s">
        <v>299</v>
      </c>
      <c r="B31" s="363"/>
      <c r="C31" s="363"/>
      <c r="D31" s="363"/>
      <c r="E31" s="363"/>
      <c r="F31" s="363"/>
      <c r="G31" s="363"/>
      <c r="H31" s="363"/>
    </row>
    <row r="32" spans="1:8">
      <c r="A32" s="364" t="str">
        <f t="shared" ref="A32:A37" si="3">A22</f>
        <v>Faclitiy 1 - Cleaning &amp; Grading</v>
      </c>
      <c r="B32" s="363">
        <f>'12.Facility 1 - Trading'!D301</f>
        <v>0</v>
      </c>
      <c r="C32" s="363">
        <f>'12.Facility 1 - Trading'!E301</f>
        <v>0</v>
      </c>
      <c r="D32" s="363">
        <f>'12.Facility 1 - Trading'!F301</f>
        <v>0</v>
      </c>
      <c r="E32" s="363">
        <f>'12.Facility 1 - Trading'!G301</f>
        <v>0</v>
      </c>
      <c r="F32" s="363">
        <f>'12.Facility 1 - Trading'!H301</f>
        <v>0</v>
      </c>
      <c r="G32" s="363">
        <f>'12.Facility 1 - Trading'!I301</f>
        <v>0</v>
      </c>
      <c r="H32" s="363">
        <f>'12.Facility 1 - Trading'!J301</f>
        <v>0</v>
      </c>
    </row>
    <row r="33" spans="1:8">
      <c r="A33" s="364" t="str">
        <f t="shared" si="3"/>
        <v>Faclitiy 2 - Processing Unit- Dal Mill</v>
      </c>
      <c r="B33" s="363">
        <f>'17.Facility 6 F &amp; V Processing '!D177</f>
        <v>0</v>
      </c>
      <c r="C33" s="363">
        <f>'17.Facility 6 F &amp; V Processing '!E177</f>
        <v>0</v>
      </c>
      <c r="D33" s="363">
        <f>'17.Facility 6 F &amp; V Processing '!F177</f>
        <v>0</v>
      </c>
      <c r="E33" s="363">
        <f>'17.Facility 6 F &amp; V Processing '!G177</f>
        <v>0</v>
      </c>
      <c r="F33" s="363">
        <f>'17.Facility 6 F &amp; V Processing '!H177</f>
        <v>0</v>
      </c>
      <c r="G33" s="363">
        <f>'17.Facility 6 F &amp; V Processing '!I177</f>
        <v>0</v>
      </c>
      <c r="H33" s="363">
        <f>'17.Facility 6 F &amp; V Processing '!J177</f>
        <v>0</v>
      </c>
    </row>
    <row r="34" spans="1:8">
      <c r="A34" s="364" t="str">
        <f t="shared" si="3"/>
        <v>Faclitiy 3 - Warehouse</v>
      </c>
      <c r="B34" s="363">
        <f>'14. Facility 3 Warehouse'!D43</f>
        <v>0</v>
      </c>
      <c r="C34" s="363">
        <f>'14. Facility 3 Warehouse'!E43</f>
        <v>0</v>
      </c>
      <c r="D34" s="363">
        <f>'14. Facility 3 Warehouse'!F43</f>
        <v>0</v>
      </c>
      <c r="E34" s="363">
        <f>'14. Facility 3 Warehouse'!G43</f>
        <v>0</v>
      </c>
      <c r="F34" s="363">
        <f>'14. Facility 3 Warehouse'!H43</f>
        <v>0</v>
      </c>
      <c r="G34" s="363">
        <f>'14. Facility 3 Warehouse'!I43</f>
        <v>0</v>
      </c>
      <c r="H34" s="363">
        <f>'14. Facility 3 Warehouse'!J43</f>
        <v>0</v>
      </c>
    </row>
    <row r="35" spans="1:8">
      <c r="A35" s="364" t="str">
        <f t="shared" si="3"/>
        <v xml:space="preserve">Faclitiy 4 - Custom Hiring </v>
      </c>
      <c r="B35" s="363">
        <f>'15. Facility 4 Custom Hiring'!E56</f>
        <v>0</v>
      </c>
      <c r="C35" s="363">
        <f>'15. Facility 4 Custom Hiring'!F56</f>
        <v>0</v>
      </c>
      <c r="D35" s="363">
        <f>'15. Facility 4 Custom Hiring'!G56</f>
        <v>0</v>
      </c>
      <c r="E35" s="363">
        <f>'15. Facility 4 Custom Hiring'!H56</f>
        <v>0</v>
      </c>
      <c r="F35" s="363">
        <f>'15. Facility 4 Custom Hiring'!I56</f>
        <v>0</v>
      </c>
      <c r="G35" s="363">
        <f>'15. Facility 4 Custom Hiring'!J56</f>
        <v>0</v>
      </c>
      <c r="H35" s="363">
        <f>'15. Facility 4 Custom Hiring'!K56</f>
        <v>0</v>
      </c>
    </row>
    <row r="36" spans="1:8">
      <c r="A36" s="364" t="str">
        <f t="shared" si="3"/>
        <v>Faclitiy 5 - Agri Input Centre</v>
      </c>
      <c r="B36" s="363">
        <f>'16.Facility 5 Agri Input'!D273</f>
        <v>0</v>
      </c>
      <c r="C36" s="363">
        <f>'16.Facility 5 Agri Input'!E273</f>
        <v>0</v>
      </c>
      <c r="D36" s="363">
        <f>'16.Facility 5 Agri Input'!F273</f>
        <v>0</v>
      </c>
      <c r="E36" s="363">
        <f>'16.Facility 5 Agri Input'!G273</f>
        <v>0</v>
      </c>
      <c r="F36" s="363">
        <f>'16.Facility 5 Agri Input'!H273</f>
        <v>0</v>
      </c>
      <c r="G36" s="363">
        <f>'16.Facility 5 Agri Input'!I273</f>
        <v>0</v>
      </c>
      <c r="H36" s="363">
        <f>'16.Facility 5 Agri Input'!J273</f>
        <v>0</v>
      </c>
    </row>
    <row r="37" spans="1:8">
      <c r="A37" s="364" t="str">
        <f t="shared" si="3"/>
        <v>Facility 6 - Processing Unit - Oil Mill, Cleaning Grading &amp; Cattel Feed</v>
      </c>
      <c r="B37" s="363">
        <f>'13.Facility 2 Grain Processing'!D172</f>
        <v>9.6306656999999998</v>
      </c>
      <c r="C37" s="363">
        <f>'13.Facility 2 Grain Processing'!E172</f>
        <v>10.112198985000001</v>
      </c>
      <c r="D37" s="363">
        <f>'13.Facility 2 Grain Processing'!F172</f>
        <v>10.617808934249998</v>
      </c>
      <c r="E37" s="363">
        <f>'13.Facility 2 Grain Processing'!G172</f>
        <v>11.148699380962501</v>
      </c>
      <c r="F37" s="363">
        <f>'13.Facility 2 Grain Processing'!H172</f>
        <v>11.706134350010627</v>
      </c>
      <c r="G37" s="363">
        <f>'13.Facility 2 Grain Processing'!I172</f>
        <v>12.29144106751116</v>
      </c>
      <c r="H37" s="363">
        <f>'13.Facility 2 Grain Processing'!J172</f>
        <v>12.906013120886717</v>
      </c>
    </row>
    <row r="38" spans="1:8">
      <c r="A38" s="364"/>
      <c r="B38" s="363"/>
      <c r="C38" s="363"/>
      <c r="D38" s="363"/>
      <c r="E38" s="363"/>
      <c r="F38" s="363"/>
      <c r="G38" s="363"/>
      <c r="H38" s="363"/>
    </row>
    <row r="39" spans="1:8">
      <c r="A39" s="364" t="s">
        <v>9</v>
      </c>
      <c r="B39" s="363">
        <f>+'3.Other Exp &amp; Taxes'!C18</f>
        <v>8.2439999999999998</v>
      </c>
      <c r="C39" s="363">
        <f>+'3.Other Exp &amp; Taxes'!D18</f>
        <v>8.6547000000000001</v>
      </c>
      <c r="D39" s="363">
        <f>+'3.Other Exp &amp; Taxes'!E18</f>
        <v>9.085935000000001</v>
      </c>
      <c r="E39" s="363">
        <f>+'3.Other Exp &amp; Taxes'!F18</f>
        <v>9.5387317500000037</v>
      </c>
      <c r="F39" s="363">
        <f>+'3.Other Exp &amp; Taxes'!G18</f>
        <v>10.014168337500003</v>
      </c>
      <c r="G39" s="363">
        <f>+'3.Other Exp &amp; Taxes'!H18</f>
        <v>10.513376754375004</v>
      </c>
      <c r="H39" s="363">
        <f>+'3.Other Exp &amp; Taxes'!I18</f>
        <v>11.037545592093752</v>
      </c>
    </row>
    <row r="40" spans="1:8">
      <c r="A40" s="400" t="s">
        <v>312</v>
      </c>
      <c r="B40" s="401">
        <f t="shared" ref="B40:H40" si="4">SUM(B32:B39)</f>
        <v>17.874665700000001</v>
      </c>
      <c r="C40" s="401">
        <f t="shared" si="4"/>
        <v>18.766898985000001</v>
      </c>
      <c r="D40" s="401">
        <f t="shared" si="4"/>
        <v>19.703743934249999</v>
      </c>
      <c r="E40" s="401">
        <f t="shared" si="4"/>
        <v>20.687431130962505</v>
      </c>
      <c r="F40" s="401">
        <f t="shared" si="4"/>
        <v>21.720302687510632</v>
      </c>
      <c r="G40" s="401">
        <f t="shared" si="4"/>
        <v>22.804817821886164</v>
      </c>
      <c r="H40" s="401">
        <f t="shared" si="4"/>
        <v>23.943558712980469</v>
      </c>
    </row>
    <row r="41" spans="1:8">
      <c r="A41" s="364"/>
      <c r="B41" s="363"/>
      <c r="C41" s="363"/>
      <c r="D41" s="363"/>
      <c r="E41" s="363"/>
      <c r="F41" s="363"/>
      <c r="G41" s="363"/>
      <c r="H41" s="363"/>
    </row>
    <row r="42" spans="1:8">
      <c r="A42" s="400" t="s">
        <v>316</v>
      </c>
      <c r="B42" s="401">
        <f t="shared" ref="B42:H42" si="5">B29+B40</f>
        <v>182.11316450701756</v>
      </c>
      <c r="C42" s="401">
        <f t="shared" si="5"/>
        <v>208.13369344114042</v>
      </c>
      <c r="D42" s="401">
        <f t="shared" si="5"/>
        <v>235.42699447810963</v>
      </c>
      <c r="E42" s="401">
        <f t="shared" si="5"/>
        <v>265.85188283710289</v>
      </c>
      <c r="F42" s="401">
        <f t="shared" si="5"/>
        <v>296.4658291447476</v>
      </c>
      <c r="G42" s="401">
        <f t="shared" si="5"/>
        <v>329.78091546523046</v>
      </c>
      <c r="H42" s="401">
        <f t="shared" si="5"/>
        <v>368.06474849265214</v>
      </c>
    </row>
    <row r="43" spans="1:8">
      <c r="A43" s="364"/>
      <c r="B43" s="363"/>
      <c r="C43" s="363"/>
      <c r="D43" s="363"/>
      <c r="E43" s="363"/>
      <c r="F43" s="363"/>
      <c r="G43" s="363"/>
      <c r="H43" s="363"/>
    </row>
    <row r="44" spans="1:8">
      <c r="A44" s="400" t="s">
        <v>132</v>
      </c>
      <c r="B44" s="401">
        <f t="shared" ref="B44:H44" si="6">B19-B42</f>
        <v>37.835102159649097</v>
      </c>
      <c r="C44" s="401">
        <f t="shared" si="6"/>
        <v>47.126166558859637</v>
      </c>
      <c r="D44" s="401">
        <f t="shared" si="6"/>
        <v>54.639322521890392</v>
      </c>
      <c r="E44" s="401">
        <f t="shared" si="6"/>
        <v>64.995969712897136</v>
      </c>
      <c r="F44" s="401">
        <f t="shared" si="6"/>
        <v>74.29974834275248</v>
      </c>
      <c r="G44" s="401">
        <f t="shared" si="6"/>
        <v>83.680049315894564</v>
      </c>
      <c r="H44" s="401">
        <f t="shared" si="6"/>
        <v>91.548031748679136</v>
      </c>
    </row>
    <row r="45" spans="1:8">
      <c r="A45" s="364"/>
      <c r="B45" s="363"/>
      <c r="C45" s="363"/>
      <c r="D45" s="363"/>
      <c r="E45" s="363"/>
      <c r="F45" s="363"/>
      <c r="G45" s="363"/>
      <c r="H45" s="363"/>
    </row>
    <row r="46" spans="1:8">
      <c r="A46" s="402" t="s">
        <v>16</v>
      </c>
      <c r="B46" s="363">
        <f>'3.Other Exp &amp; Taxes'!C58</f>
        <v>8.3224132540000006</v>
      </c>
      <c r="C46" s="363">
        <f>'3.Other Exp &amp; Taxes'!D58</f>
        <v>8.3224132540000006</v>
      </c>
      <c r="D46" s="363">
        <f>'3.Other Exp &amp; Taxes'!E58</f>
        <v>8.3224132540000006</v>
      </c>
      <c r="E46" s="363">
        <f>'3.Other Exp &amp; Taxes'!F58</f>
        <v>8.3224132540000006</v>
      </c>
      <c r="F46" s="363">
        <f>'3.Other Exp &amp; Taxes'!G58</f>
        <v>8.3224132540000006</v>
      </c>
      <c r="G46" s="363">
        <f>'3.Other Exp &amp; Taxes'!H58</f>
        <v>8.3224132540000006</v>
      </c>
      <c r="H46" s="363">
        <f>'3.Other Exp &amp; Taxes'!I58</f>
        <v>8.3224132540000006</v>
      </c>
    </row>
    <row r="47" spans="1:8">
      <c r="A47" s="402" t="s">
        <v>133</v>
      </c>
      <c r="B47" s="363">
        <f>'3.Other Exp &amp; Taxes'!C78</f>
        <v>0.93022189999999993</v>
      </c>
      <c r="C47" s="363">
        <f>'3.Other Exp &amp; Taxes'!D78</f>
        <v>0.93022189999999993</v>
      </c>
      <c r="D47" s="363">
        <f>'3.Other Exp &amp; Taxes'!E78</f>
        <v>0.93022189999999993</v>
      </c>
      <c r="E47" s="363">
        <f>'3.Other Exp &amp; Taxes'!F78</f>
        <v>0.93022189999999993</v>
      </c>
      <c r="F47" s="363">
        <f>'3.Other Exp &amp; Taxes'!G78</f>
        <v>0.93022189999999993</v>
      </c>
      <c r="G47" s="363">
        <f>'3.Other Exp &amp; Taxes'!H78</f>
        <v>0.93022189999999993</v>
      </c>
      <c r="H47" s="363">
        <f>'3.Other Exp &amp; Taxes'!I78</f>
        <v>0.93022189999999993</v>
      </c>
    </row>
    <row r="48" spans="1:8">
      <c r="A48" s="364"/>
      <c r="B48" s="363"/>
      <c r="C48" s="363"/>
      <c r="D48" s="363"/>
      <c r="E48" s="363"/>
      <c r="F48" s="363"/>
      <c r="G48" s="363"/>
      <c r="H48" s="363"/>
    </row>
    <row r="49" spans="1:9">
      <c r="A49" s="400" t="s">
        <v>134</v>
      </c>
      <c r="B49" s="401">
        <f>B44-B46-B47</f>
        <v>28.582467005649097</v>
      </c>
      <c r="C49" s="401">
        <f t="shared" ref="C49:H49" si="7">C44-C46-C47</f>
        <v>37.873531404859641</v>
      </c>
      <c r="D49" s="401">
        <f t="shared" si="7"/>
        <v>45.386687367890396</v>
      </c>
      <c r="E49" s="401">
        <f t="shared" si="7"/>
        <v>55.743334558897139</v>
      </c>
      <c r="F49" s="401">
        <f t="shared" si="7"/>
        <v>65.047113188752476</v>
      </c>
      <c r="G49" s="401">
        <f t="shared" si="7"/>
        <v>74.427414161894561</v>
      </c>
      <c r="H49" s="401">
        <f t="shared" si="7"/>
        <v>82.295396594679133</v>
      </c>
    </row>
    <row r="50" spans="1:9">
      <c r="A50" s="364"/>
      <c r="B50" s="363"/>
      <c r="C50" s="363"/>
      <c r="D50" s="363"/>
      <c r="E50" s="363"/>
      <c r="F50" s="363"/>
      <c r="G50" s="363"/>
      <c r="H50" s="363"/>
    </row>
    <row r="51" spans="1:9">
      <c r="A51" s="364" t="s">
        <v>23</v>
      </c>
      <c r="B51" s="363">
        <f>+'8.Cash Flow '!C28</f>
        <v>3.4492495085300381</v>
      </c>
      <c r="C51" s="363">
        <f>+'8.Cash Flow '!D28</f>
        <v>2.8789037127944104</v>
      </c>
      <c r="D51" s="363">
        <f>+'8.Cash Flow '!E28</f>
        <v>2.1554916859662474</v>
      </c>
      <c r="E51" s="363">
        <f>+'8.Cash Flow '!F28</f>
        <v>1.3642186211634557</v>
      </c>
      <c r="F51" s="363">
        <f>+'8.Cash Flow '!G28</f>
        <v>0.49871868494090371</v>
      </c>
      <c r="G51" s="363">
        <f>+'8.Cash Flow '!H28</f>
        <v>0</v>
      </c>
      <c r="H51" s="363">
        <f>+'8.Cash Flow '!I28</f>
        <v>0</v>
      </c>
    </row>
    <row r="52" spans="1:9">
      <c r="A52" s="364" t="s">
        <v>797</v>
      </c>
      <c r="B52" s="363">
        <f>+'5.Closing Stock &amp; W Capital'!E56*9%</f>
        <v>0.76845994964802611</v>
      </c>
      <c r="C52" s="363">
        <f>+'5.Closing Stock &amp; W Capital'!F56*9%</f>
        <v>0.95553937439358561</v>
      </c>
      <c r="D52" s="363">
        <f>+'5.Closing Stock &amp; W Capital'!G56*9%</f>
        <v>1.0770295641856336</v>
      </c>
      <c r="E52" s="363">
        <f>+'5.Closing Stock &amp; W Capital'!H56*9%</f>
        <v>1.230371984322546</v>
      </c>
      <c r="F52" s="363">
        <f>+'5.Closing Stock &amp; W Capital'!I56*9%</f>
        <v>1.374380013334233</v>
      </c>
      <c r="G52" s="363">
        <f>+'5.Closing Stock &amp; W Capital'!J56*9%</f>
        <v>1.5373687214370633</v>
      </c>
      <c r="H52" s="363">
        <f>+'5.Closing Stock &amp; W Capital'!K56*9%</f>
        <v>1.8002944022550702</v>
      </c>
    </row>
    <row r="53" spans="1:9">
      <c r="A53" s="364"/>
      <c r="B53" s="363"/>
      <c r="C53" s="363"/>
      <c r="D53" s="363"/>
      <c r="E53" s="363"/>
      <c r="F53" s="363"/>
      <c r="G53" s="363"/>
      <c r="H53" s="363"/>
    </row>
    <row r="54" spans="1:9">
      <c r="A54" s="364" t="s">
        <v>24</v>
      </c>
      <c r="B54" s="363">
        <f>B49-B51-B52</f>
        <v>24.364757547471033</v>
      </c>
      <c r="C54" s="363">
        <f t="shared" ref="C54:H54" si="8">C49-C51-C52</f>
        <v>34.039088317671641</v>
      </c>
      <c r="D54" s="363">
        <f t="shared" si="8"/>
        <v>42.154166117738512</v>
      </c>
      <c r="E54" s="363">
        <f t="shared" si="8"/>
        <v>53.148743953411142</v>
      </c>
      <c r="F54" s="363">
        <f t="shared" si="8"/>
        <v>63.174014490477347</v>
      </c>
      <c r="G54" s="363">
        <f t="shared" si="8"/>
        <v>72.890045440457499</v>
      </c>
      <c r="H54" s="363">
        <f t="shared" si="8"/>
        <v>80.495102192424056</v>
      </c>
    </row>
    <row r="55" spans="1:9">
      <c r="A55" s="364" t="s">
        <v>25</v>
      </c>
      <c r="B55" s="363">
        <f>'3.Other Exp &amp; Taxes'!B91</f>
        <v>2.6639635883824688</v>
      </c>
      <c r="C55" s="363">
        <f>'3.Other Exp &amp; Taxes'!C91</f>
        <v>5.9123917116346263</v>
      </c>
      <c r="D55" s="363">
        <f>'3.Other Exp &amp; Taxes'!D91</f>
        <v>8.6596590442020123</v>
      </c>
      <c r="E55" s="363">
        <f>'3.Other Exp &amp; Taxes'!E91</f>
        <v>12.072783590344395</v>
      </c>
      <c r="F55" s="363">
        <f>'3.Other Exp &amp; Taxes'!F91</f>
        <v>15.162218435518986</v>
      </c>
      <c r="G55" s="363">
        <f>'3.Other Exp &amp; Taxes'!G91</f>
        <v>18.109180620920593</v>
      </c>
      <c r="H55" s="363">
        <f>'3.Other Exp &amp; Taxes'!H91</f>
        <v>20.453493771907652</v>
      </c>
    </row>
    <row r="56" spans="1:9">
      <c r="A56" s="400" t="s">
        <v>27</v>
      </c>
      <c r="B56" s="363">
        <f>B54-B55</f>
        <v>21.700793959088564</v>
      </c>
      <c r="C56" s="363">
        <f>C54-C55</f>
        <v>28.126696606037015</v>
      </c>
      <c r="D56" s="363">
        <f>D54-D55</f>
        <v>33.494507073536496</v>
      </c>
      <c r="E56" s="363">
        <f>E54-E55</f>
        <v>41.075960363066748</v>
      </c>
      <c r="F56" s="363">
        <f>F54-F55</f>
        <v>48.01179605495836</v>
      </c>
      <c r="G56" s="363">
        <f t="shared" ref="G56:H56" si="9">G54-G55</f>
        <v>54.780864819536902</v>
      </c>
      <c r="H56" s="363">
        <f t="shared" si="9"/>
        <v>60.041608420516404</v>
      </c>
    </row>
    <row r="57" spans="1:9" ht="30">
      <c r="A57" s="634" t="s">
        <v>913</v>
      </c>
      <c r="B57" s="363">
        <f>+B56*0.35</f>
        <v>7.5952778856809973</v>
      </c>
      <c r="C57" s="363">
        <f t="shared" ref="C57:H57" si="10">+C56*0.35</f>
        <v>9.844343812112955</v>
      </c>
      <c r="D57" s="363">
        <f t="shared" si="10"/>
        <v>11.723077475737773</v>
      </c>
      <c r="E57" s="363">
        <f t="shared" si="10"/>
        <v>14.376586127073361</v>
      </c>
      <c r="F57" s="363">
        <f t="shared" si="10"/>
        <v>16.804128619235424</v>
      </c>
      <c r="G57" s="363">
        <f t="shared" si="10"/>
        <v>19.173302686837914</v>
      </c>
      <c r="H57" s="363">
        <f t="shared" si="10"/>
        <v>21.014562947180739</v>
      </c>
    </row>
    <row r="58" spans="1:9">
      <c r="A58" s="400" t="s">
        <v>883</v>
      </c>
      <c r="B58" s="401">
        <f>+B56-B57</f>
        <v>14.105516073407568</v>
      </c>
      <c r="C58" s="401">
        <f t="shared" ref="C58:H58" si="11">+C56-C57</f>
        <v>18.282352793924062</v>
      </c>
      <c r="D58" s="401">
        <f t="shared" si="11"/>
        <v>21.771429597798722</v>
      </c>
      <c r="E58" s="401">
        <f t="shared" si="11"/>
        <v>26.699374235993389</v>
      </c>
      <c r="F58" s="401">
        <f t="shared" si="11"/>
        <v>31.207667435722936</v>
      </c>
      <c r="G58" s="401">
        <f t="shared" si="11"/>
        <v>35.607562132698988</v>
      </c>
      <c r="H58" s="401">
        <f t="shared" si="11"/>
        <v>39.027045473335662</v>
      </c>
    </row>
    <row r="59" spans="1:9">
      <c r="A59" s="94" t="s">
        <v>466</v>
      </c>
      <c r="B59" s="363">
        <f>+B58</f>
        <v>14.105516073407568</v>
      </c>
      <c r="C59" s="363">
        <f t="shared" ref="C59:H59" si="12">B59+C58</f>
        <v>32.387868867331633</v>
      </c>
      <c r="D59" s="363">
        <f t="shared" si="12"/>
        <v>54.159298465130355</v>
      </c>
      <c r="E59" s="363">
        <f t="shared" si="12"/>
        <v>80.858672701123737</v>
      </c>
      <c r="F59" s="363">
        <f t="shared" si="12"/>
        <v>112.06634013684668</v>
      </c>
      <c r="G59" s="363">
        <f t="shared" si="12"/>
        <v>147.67390226954566</v>
      </c>
      <c r="H59" s="363">
        <f t="shared" si="12"/>
        <v>186.70094774288134</v>
      </c>
    </row>
    <row r="60" spans="1:9">
      <c r="A60" s="94"/>
      <c r="B60" s="635"/>
      <c r="C60" s="635"/>
      <c r="D60" s="635"/>
      <c r="E60" s="635"/>
      <c r="F60" s="635"/>
      <c r="G60" s="635"/>
      <c r="H60" s="635"/>
    </row>
    <row r="61" spans="1:9" ht="38.25" customHeight="1">
      <c r="A61" s="733" t="s">
        <v>884</v>
      </c>
      <c r="B61" s="733"/>
      <c r="C61" s="733"/>
      <c r="D61" s="733"/>
      <c r="E61" s="733"/>
      <c r="F61" s="733"/>
      <c r="G61" s="733"/>
      <c r="H61" s="733"/>
    </row>
    <row r="62" spans="1:9">
      <c r="A62" s="734" t="s">
        <v>885</v>
      </c>
      <c r="B62" s="734"/>
      <c r="C62" s="734"/>
      <c r="D62" s="734"/>
      <c r="E62" s="734"/>
      <c r="F62" s="734"/>
      <c r="G62" s="734"/>
      <c r="H62" s="734"/>
    </row>
    <row r="63" spans="1:9" ht="32.450000000000003" customHeight="1">
      <c r="A63" s="732" t="s">
        <v>388</v>
      </c>
      <c r="B63" s="732"/>
      <c r="C63" s="732"/>
      <c r="D63" s="732"/>
      <c r="E63" s="732"/>
      <c r="F63" s="732"/>
      <c r="G63" s="732"/>
      <c r="H63" s="732"/>
      <c r="I63" s="618"/>
    </row>
    <row r="65" spans="1:1">
      <c r="A65" s="403"/>
    </row>
  </sheetData>
  <mergeCells count="4">
    <mergeCell ref="A2:H2"/>
    <mergeCell ref="A63:H63"/>
    <mergeCell ref="A61:H61"/>
    <mergeCell ref="A62:H62"/>
  </mergeCells>
  <pageMargins left="0.7" right="0.7" top="0.75" bottom="0.75" header="0.3" footer="0.3"/>
  <pageSetup scale="66"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51"/>
  <sheetViews>
    <sheetView view="pageBreakPreview" zoomScale="80" zoomScaleSheetLayoutView="80" workbookViewId="0">
      <selection activeCell="A4" sqref="A4:H49"/>
    </sheetView>
  </sheetViews>
  <sheetFormatPr defaultRowHeight="15"/>
  <cols>
    <col min="1" max="1" width="37.28515625" style="44" customWidth="1"/>
    <col min="2" max="2" width="18.42578125" style="44" bestFit="1" customWidth="1"/>
    <col min="3" max="3" width="19" style="44" bestFit="1" customWidth="1"/>
    <col min="4" max="6" width="13.5703125" style="44" bestFit="1" customWidth="1"/>
    <col min="7" max="8" width="12.42578125" style="44" bestFit="1" customWidth="1"/>
    <col min="9" max="9" width="9.140625" style="44"/>
    <col min="10" max="10" width="32.85546875" style="44" bestFit="1" customWidth="1"/>
    <col min="11" max="16" width="8.7109375" style="44" bestFit="1"/>
    <col min="17" max="17" width="10.140625" style="44" bestFit="1" customWidth="1"/>
    <col min="18" max="256" width="9.140625" style="44"/>
    <col min="257" max="257" width="37.28515625" style="44" customWidth="1"/>
    <col min="258" max="258" width="18.42578125" style="44" bestFit="1" customWidth="1"/>
    <col min="259" max="262" width="12.42578125" style="44" bestFit="1" customWidth="1"/>
    <col min="263" max="263" width="11.7109375" style="44" bestFit="1" customWidth="1"/>
    <col min="264" max="512" width="9.140625" style="44"/>
    <col min="513" max="513" width="37.28515625" style="44" customWidth="1"/>
    <col min="514" max="514" width="18.42578125" style="44" bestFit="1" customWidth="1"/>
    <col min="515" max="518" width="12.42578125" style="44" bestFit="1" customWidth="1"/>
    <col min="519" max="519" width="11.7109375" style="44" bestFit="1" customWidth="1"/>
    <col min="520" max="768" width="9.140625" style="44"/>
    <col min="769" max="769" width="37.28515625" style="44" customWidth="1"/>
    <col min="770" max="770" width="18.42578125" style="44" bestFit="1" customWidth="1"/>
    <col min="771" max="774" width="12.42578125" style="44" bestFit="1" customWidth="1"/>
    <col min="775" max="775" width="11.7109375" style="44" bestFit="1" customWidth="1"/>
    <col min="776" max="1024" width="9.140625" style="44"/>
    <col min="1025" max="1025" width="37.28515625" style="44" customWidth="1"/>
    <col min="1026" max="1026" width="18.42578125" style="44" bestFit="1" customWidth="1"/>
    <col min="1027" max="1030" width="12.42578125" style="44" bestFit="1" customWidth="1"/>
    <col min="1031" max="1031" width="11.7109375" style="44" bestFit="1" customWidth="1"/>
    <col min="1032" max="1280" width="9.140625" style="44"/>
    <col min="1281" max="1281" width="37.28515625" style="44" customWidth="1"/>
    <col min="1282" max="1282" width="18.42578125" style="44" bestFit="1" customWidth="1"/>
    <col min="1283" max="1286" width="12.42578125" style="44" bestFit="1" customWidth="1"/>
    <col min="1287" max="1287" width="11.7109375" style="44" bestFit="1" customWidth="1"/>
    <col min="1288" max="1536" width="9.140625" style="44"/>
    <col min="1537" max="1537" width="37.28515625" style="44" customWidth="1"/>
    <col min="1538" max="1538" width="18.42578125" style="44" bestFit="1" customWidth="1"/>
    <col min="1539" max="1542" width="12.42578125" style="44" bestFit="1" customWidth="1"/>
    <col min="1543" max="1543" width="11.7109375" style="44" bestFit="1" customWidth="1"/>
    <col min="1544" max="1792" width="9.140625" style="44"/>
    <col min="1793" max="1793" width="37.28515625" style="44" customWidth="1"/>
    <col min="1794" max="1794" width="18.42578125" style="44" bestFit="1" customWidth="1"/>
    <col min="1795" max="1798" width="12.42578125" style="44" bestFit="1" customWidth="1"/>
    <col min="1799" max="1799" width="11.7109375" style="44" bestFit="1" customWidth="1"/>
    <col min="1800" max="2048" width="9.140625" style="44"/>
    <col min="2049" max="2049" width="37.28515625" style="44" customWidth="1"/>
    <col min="2050" max="2050" width="18.42578125" style="44" bestFit="1" customWidth="1"/>
    <col min="2051" max="2054" width="12.42578125" style="44" bestFit="1" customWidth="1"/>
    <col min="2055" max="2055" width="11.7109375" style="44" bestFit="1" customWidth="1"/>
    <col min="2056" max="2304" width="9.140625" style="44"/>
    <col min="2305" max="2305" width="37.28515625" style="44" customWidth="1"/>
    <col min="2306" max="2306" width="18.42578125" style="44" bestFit="1" customWidth="1"/>
    <col min="2307" max="2310" width="12.42578125" style="44" bestFit="1" customWidth="1"/>
    <col min="2311" max="2311" width="11.7109375" style="44" bestFit="1" customWidth="1"/>
    <col min="2312" max="2560" width="9.140625" style="44"/>
    <col min="2561" max="2561" width="37.28515625" style="44" customWidth="1"/>
    <col min="2562" max="2562" width="18.42578125" style="44" bestFit="1" customWidth="1"/>
    <col min="2563" max="2566" width="12.42578125" style="44" bestFit="1" customWidth="1"/>
    <col min="2567" max="2567" width="11.7109375" style="44" bestFit="1" customWidth="1"/>
    <col min="2568" max="2816" width="9.140625" style="44"/>
    <col min="2817" max="2817" width="37.28515625" style="44" customWidth="1"/>
    <col min="2818" max="2818" width="18.42578125" style="44" bestFit="1" customWidth="1"/>
    <col min="2819" max="2822" width="12.42578125" style="44" bestFit="1" customWidth="1"/>
    <col min="2823" max="2823" width="11.7109375" style="44" bestFit="1" customWidth="1"/>
    <col min="2824" max="3072" width="9.140625" style="44"/>
    <col min="3073" max="3073" width="37.28515625" style="44" customWidth="1"/>
    <col min="3074" max="3074" width="18.42578125" style="44" bestFit="1" customWidth="1"/>
    <col min="3075" max="3078" width="12.42578125" style="44" bestFit="1" customWidth="1"/>
    <col min="3079" max="3079" width="11.7109375" style="44" bestFit="1" customWidth="1"/>
    <col min="3080" max="3328" width="9.140625" style="44"/>
    <col min="3329" max="3329" width="37.28515625" style="44" customWidth="1"/>
    <col min="3330" max="3330" width="18.42578125" style="44" bestFit="1" customWidth="1"/>
    <col min="3331" max="3334" width="12.42578125" style="44" bestFit="1" customWidth="1"/>
    <col min="3335" max="3335" width="11.7109375" style="44" bestFit="1" customWidth="1"/>
    <col min="3336" max="3584" width="9.140625" style="44"/>
    <col min="3585" max="3585" width="37.28515625" style="44" customWidth="1"/>
    <col min="3586" max="3586" width="18.42578125" style="44" bestFit="1" customWidth="1"/>
    <col min="3587" max="3590" width="12.42578125" style="44" bestFit="1" customWidth="1"/>
    <col min="3591" max="3591" width="11.7109375" style="44" bestFit="1" customWidth="1"/>
    <col min="3592" max="3840" width="9.140625" style="44"/>
    <col min="3841" max="3841" width="37.28515625" style="44" customWidth="1"/>
    <col min="3842" max="3842" width="18.42578125" style="44" bestFit="1" customWidth="1"/>
    <col min="3843" max="3846" width="12.42578125" style="44" bestFit="1" customWidth="1"/>
    <col min="3847" max="3847" width="11.7109375" style="44" bestFit="1" customWidth="1"/>
    <col min="3848" max="4096" width="9.140625" style="44"/>
    <col min="4097" max="4097" width="37.28515625" style="44" customWidth="1"/>
    <col min="4098" max="4098" width="18.42578125" style="44" bestFit="1" customWidth="1"/>
    <col min="4099" max="4102" width="12.42578125" style="44" bestFit="1" customWidth="1"/>
    <col min="4103" max="4103" width="11.7109375" style="44" bestFit="1" customWidth="1"/>
    <col min="4104" max="4352" width="9.140625" style="44"/>
    <col min="4353" max="4353" width="37.28515625" style="44" customWidth="1"/>
    <col min="4354" max="4354" width="18.42578125" style="44" bestFit="1" customWidth="1"/>
    <col min="4355" max="4358" width="12.42578125" style="44" bestFit="1" customWidth="1"/>
    <col min="4359" max="4359" width="11.7109375" style="44" bestFit="1" customWidth="1"/>
    <col min="4360" max="4608" width="9.140625" style="44"/>
    <col min="4609" max="4609" width="37.28515625" style="44" customWidth="1"/>
    <col min="4610" max="4610" width="18.42578125" style="44" bestFit="1" customWidth="1"/>
    <col min="4611" max="4614" width="12.42578125" style="44" bestFit="1" customWidth="1"/>
    <col min="4615" max="4615" width="11.7109375" style="44" bestFit="1" customWidth="1"/>
    <col min="4616" max="4864" width="9.140625" style="44"/>
    <col min="4865" max="4865" width="37.28515625" style="44" customWidth="1"/>
    <col min="4866" max="4866" width="18.42578125" style="44" bestFit="1" customWidth="1"/>
    <col min="4867" max="4870" width="12.42578125" style="44" bestFit="1" customWidth="1"/>
    <col min="4871" max="4871" width="11.7109375" style="44" bestFit="1" customWidth="1"/>
    <col min="4872" max="5120" width="9.140625" style="44"/>
    <col min="5121" max="5121" width="37.28515625" style="44" customWidth="1"/>
    <col min="5122" max="5122" width="18.42578125" style="44" bestFit="1" customWidth="1"/>
    <col min="5123" max="5126" width="12.42578125" style="44" bestFit="1" customWidth="1"/>
    <col min="5127" max="5127" width="11.7109375" style="44" bestFit="1" customWidth="1"/>
    <col min="5128" max="5376" width="9.140625" style="44"/>
    <col min="5377" max="5377" width="37.28515625" style="44" customWidth="1"/>
    <col min="5378" max="5378" width="18.42578125" style="44" bestFit="1" customWidth="1"/>
    <col min="5379" max="5382" width="12.42578125" style="44" bestFit="1" customWidth="1"/>
    <col min="5383" max="5383" width="11.7109375" style="44" bestFit="1" customWidth="1"/>
    <col min="5384" max="5632" width="9.140625" style="44"/>
    <col min="5633" max="5633" width="37.28515625" style="44" customWidth="1"/>
    <col min="5634" max="5634" width="18.42578125" style="44" bestFit="1" customWidth="1"/>
    <col min="5635" max="5638" width="12.42578125" style="44" bestFit="1" customWidth="1"/>
    <col min="5639" max="5639" width="11.7109375" style="44" bestFit="1" customWidth="1"/>
    <col min="5640" max="5888" width="9.140625" style="44"/>
    <col min="5889" max="5889" width="37.28515625" style="44" customWidth="1"/>
    <col min="5890" max="5890" width="18.42578125" style="44" bestFit="1" customWidth="1"/>
    <col min="5891" max="5894" width="12.42578125" style="44" bestFit="1" customWidth="1"/>
    <col min="5895" max="5895" width="11.7109375" style="44" bestFit="1" customWidth="1"/>
    <col min="5896" max="6144" width="9.140625" style="44"/>
    <col min="6145" max="6145" width="37.28515625" style="44" customWidth="1"/>
    <col min="6146" max="6146" width="18.42578125" style="44" bestFit="1" customWidth="1"/>
    <col min="6147" max="6150" width="12.42578125" style="44" bestFit="1" customWidth="1"/>
    <col min="6151" max="6151" width="11.7109375" style="44" bestFit="1" customWidth="1"/>
    <col min="6152" max="6400" width="9.140625" style="44"/>
    <col min="6401" max="6401" width="37.28515625" style="44" customWidth="1"/>
    <col min="6402" max="6402" width="18.42578125" style="44" bestFit="1" customWidth="1"/>
    <col min="6403" max="6406" width="12.42578125" style="44" bestFit="1" customWidth="1"/>
    <col min="6407" max="6407" width="11.7109375" style="44" bestFit="1" customWidth="1"/>
    <col min="6408" max="6656" width="9.140625" style="44"/>
    <col min="6657" max="6657" width="37.28515625" style="44" customWidth="1"/>
    <col min="6658" max="6658" width="18.42578125" style="44" bestFit="1" customWidth="1"/>
    <col min="6659" max="6662" width="12.42578125" style="44" bestFit="1" customWidth="1"/>
    <col min="6663" max="6663" width="11.7109375" style="44" bestFit="1" customWidth="1"/>
    <col min="6664" max="6912" width="9.140625" style="44"/>
    <col min="6913" max="6913" width="37.28515625" style="44" customWidth="1"/>
    <col min="6914" max="6914" width="18.42578125" style="44" bestFit="1" customWidth="1"/>
    <col min="6915" max="6918" width="12.42578125" style="44" bestFit="1" customWidth="1"/>
    <col min="6919" max="6919" width="11.7109375" style="44" bestFit="1" customWidth="1"/>
    <col min="6920" max="7168" width="9.140625" style="44"/>
    <col min="7169" max="7169" width="37.28515625" style="44" customWidth="1"/>
    <col min="7170" max="7170" width="18.42578125" style="44" bestFit="1" customWidth="1"/>
    <col min="7171" max="7174" width="12.42578125" style="44" bestFit="1" customWidth="1"/>
    <col min="7175" max="7175" width="11.7109375" style="44" bestFit="1" customWidth="1"/>
    <col min="7176" max="7424" width="9.140625" style="44"/>
    <col min="7425" max="7425" width="37.28515625" style="44" customWidth="1"/>
    <col min="7426" max="7426" width="18.42578125" style="44" bestFit="1" customWidth="1"/>
    <col min="7427" max="7430" width="12.42578125" style="44" bestFit="1" customWidth="1"/>
    <col min="7431" max="7431" width="11.7109375" style="44" bestFit="1" customWidth="1"/>
    <col min="7432" max="7680" width="9.140625" style="44"/>
    <col min="7681" max="7681" width="37.28515625" style="44" customWidth="1"/>
    <col min="7682" max="7682" width="18.42578125" style="44" bestFit="1" customWidth="1"/>
    <col min="7683" max="7686" width="12.42578125" style="44" bestFit="1" customWidth="1"/>
    <col min="7687" max="7687" width="11.7109375" style="44" bestFit="1" customWidth="1"/>
    <col min="7688" max="7936" width="9.140625" style="44"/>
    <col min="7937" max="7937" width="37.28515625" style="44" customWidth="1"/>
    <col min="7938" max="7938" width="18.42578125" style="44" bestFit="1" customWidth="1"/>
    <col min="7939" max="7942" width="12.42578125" style="44" bestFit="1" customWidth="1"/>
    <col min="7943" max="7943" width="11.7109375" style="44" bestFit="1" customWidth="1"/>
    <col min="7944" max="8192" width="9.140625" style="44"/>
    <col min="8193" max="8193" width="37.28515625" style="44" customWidth="1"/>
    <col min="8194" max="8194" width="18.42578125" style="44" bestFit="1" customWidth="1"/>
    <col min="8195" max="8198" width="12.42578125" style="44" bestFit="1" customWidth="1"/>
    <col min="8199" max="8199" width="11.7109375" style="44" bestFit="1" customWidth="1"/>
    <col min="8200" max="8448" width="9.140625" style="44"/>
    <col min="8449" max="8449" width="37.28515625" style="44" customWidth="1"/>
    <col min="8450" max="8450" width="18.42578125" style="44" bestFit="1" customWidth="1"/>
    <col min="8451" max="8454" width="12.42578125" style="44" bestFit="1" customWidth="1"/>
    <col min="8455" max="8455" width="11.7109375" style="44" bestFit="1" customWidth="1"/>
    <col min="8456" max="8704" width="9.140625" style="44"/>
    <col min="8705" max="8705" width="37.28515625" style="44" customWidth="1"/>
    <col min="8706" max="8706" width="18.42578125" style="44" bestFit="1" customWidth="1"/>
    <col min="8707" max="8710" width="12.42578125" style="44" bestFit="1" customWidth="1"/>
    <col min="8711" max="8711" width="11.7109375" style="44" bestFit="1" customWidth="1"/>
    <col min="8712" max="8960" width="9.140625" style="44"/>
    <col min="8961" max="8961" width="37.28515625" style="44" customWidth="1"/>
    <col min="8962" max="8962" width="18.42578125" style="44" bestFit="1" customWidth="1"/>
    <col min="8963" max="8966" width="12.42578125" style="44" bestFit="1" customWidth="1"/>
    <col min="8967" max="8967" width="11.7109375" style="44" bestFit="1" customWidth="1"/>
    <col min="8968" max="9216" width="9.140625" style="44"/>
    <col min="9217" max="9217" width="37.28515625" style="44" customWidth="1"/>
    <col min="9218" max="9218" width="18.42578125" style="44" bestFit="1" customWidth="1"/>
    <col min="9219" max="9222" width="12.42578125" style="44" bestFit="1" customWidth="1"/>
    <col min="9223" max="9223" width="11.7109375" style="44" bestFit="1" customWidth="1"/>
    <col min="9224" max="9472" width="9.140625" style="44"/>
    <col min="9473" max="9473" width="37.28515625" style="44" customWidth="1"/>
    <col min="9474" max="9474" width="18.42578125" style="44" bestFit="1" customWidth="1"/>
    <col min="9475" max="9478" width="12.42578125" style="44" bestFit="1" customWidth="1"/>
    <col min="9479" max="9479" width="11.7109375" style="44" bestFit="1" customWidth="1"/>
    <col min="9480" max="9728" width="9.140625" style="44"/>
    <col min="9729" max="9729" width="37.28515625" style="44" customWidth="1"/>
    <col min="9730" max="9730" width="18.42578125" style="44" bestFit="1" customWidth="1"/>
    <col min="9731" max="9734" width="12.42578125" style="44" bestFit="1" customWidth="1"/>
    <col min="9735" max="9735" width="11.7109375" style="44" bestFit="1" customWidth="1"/>
    <col min="9736" max="9984" width="9.140625" style="44"/>
    <col min="9985" max="9985" width="37.28515625" style="44" customWidth="1"/>
    <col min="9986" max="9986" width="18.42578125" style="44" bestFit="1" customWidth="1"/>
    <col min="9987" max="9990" width="12.42578125" style="44" bestFit="1" customWidth="1"/>
    <col min="9991" max="9991" width="11.7109375" style="44" bestFit="1" customWidth="1"/>
    <col min="9992" max="10240" width="9.140625" style="44"/>
    <col min="10241" max="10241" width="37.28515625" style="44" customWidth="1"/>
    <col min="10242" max="10242" width="18.42578125" style="44" bestFit="1" customWidth="1"/>
    <col min="10243" max="10246" width="12.42578125" style="44" bestFit="1" customWidth="1"/>
    <col min="10247" max="10247" width="11.7109375" style="44" bestFit="1" customWidth="1"/>
    <col min="10248" max="10496" width="9.140625" style="44"/>
    <col min="10497" max="10497" width="37.28515625" style="44" customWidth="1"/>
    <col min="10498" max="10498" width="18.42578125" style="44" bestFit="1" customWidth="1"/>
    <col min="10499" max="10502" width="12.42578125" style="44" bestFit="1" customWidth="1"/>
    <col min="10503" max="10503" width="11.7109375" style="44" bestFit="1" customWidth="1"/>
    <col min="10504" max="10752" width="9.140625" style="44"/>
    <col min="10753" max="10753" width="37.28515625" style="44" customWidth="1"/>
    <col min="10754" max="10754" width="18.42578125" style="44" bestFit="1" customWidth="1"/>
    <col min="10755" max="10758" width="12.42578125" style="44" bestFit="1" customWidth="1"/>
    <col min="10759" max="10759" width="11.7109375" style="44" bestFit="1" customWidth="1"/>
    <col min="10760" max="11008" width="9.140625" style="44"/>
    <col min="11009" max="11009" width="37.28515625" style="44" customWidth="1"/>
    <col min="11010" max="11010" width="18.42578125" style="44" bestFit="1" customWidth="1"/>
    <col min="11011" max="11014" width="12.42578125" style="44" bestFit="1" customWidth="1"/>
    <col min="11015" max="11015" width="11.7109375" style="44" bestFit="1" customWidth="1"/>
    <col min="11016" max="11264" width="9.140625" style="44"/>
    <col min="11265" max="11265" width="37.28515625" style="44" customWidth="1"/>
    <col min="11266" max="11266" width="18.42578125" style="44" bestFit="1" customWidth="1"/>
    <col min="11267" max="11270" width="12.42578125" style="44" bestFit="1" customWidth="1"/>
    <col min="11271" max="11271" width="11.7109375" style="44" bestFit="1" customWidth="1"/>
    <col min="11272" max="11520" width="9.140625" style="44"/>
    <col min="11521" max="11521" width="37.28515625" style="44" customWidth="1"/>
    <col min="11522" max="11522" width="18.42578125" style="44" bestFit="1" customWidth="1"/>
    <col min="11523" max="11526" width="12.42578125" style="44" bestFit="1" customWidth="1"/>
    <col min="11527" max="11527" width="11.7109375" style="44" bestFit="1" customWidth="1"/>
    <col min="11528" max="11776" width="9.140625" style="44"/>
    <col min="11777" max="11777" width="37.28515625" style="44" customWidth="1"/>
    <col min="11778" max="11778" width="18.42578125" style="44" bestFit="1" customWidth="1"/>
    <col min="11779" max="11782" width="12.42578125" style="44" bestFit="1" customWidth="1"/>
    <col min="11783" max="11783" width="11.7109375" style="44" bestFit="1" customWidth="1"/>
    <col min="11784" max="12032" width="9.140625" style="44"/>
    <col min="12033" max="12033" width="37.28515625" style="44" customWidth="1"/>
    <col min="12034" max="12034" width="18.42578125" style="44" bestFit="1" customWidth="1"/>
    <col min="12035" max="12038" width="12.42578125" style="44" bestFit="1" customWidth="1"/>
    <col min="12039" max="12039" width="11.7109375" style="44" bestFit="1" customWidth="1"/>
    <col min="12040" max="12288" width="9.140625" style="44"/>
    <col min="12289" max="12289" width="37.28515625" style="44" customWidth="1"/>
    <col min="12290" max="12290" width="18.42578125" style="44" bestFit="1" customWidth="1"/>
    <col min="12291" max="12294" width="12.42578125" style="44" bestFit="1" customWidth="1"/>
    <col min="12295" max="12295" width="11.7109375" style="44" bestFit="1" customWidth="1"/>
    <col min="12296" max="12544" width="9.140625" style="44"/>
    <col min="12545" max="12545" width="37.28515625" style="44" customWidth="1"/>
    <col min="12546" max="12546" width="18.42578125" style="44" bestFit="1" customWidth="1"/>
    <col min="12547" max="12550" width="12.42578125" style="44" bestFit="1" customWidth="1"/>
    <col min="12551" max="12551" width="11.7109375" style="44" bestFit="1" customWidth="1"/>
    <col min="12552" max="12800" width="9.140625" style="44"/>
    <col min="12801" max="12801" width="37.28515625" style="44" customWidth="1"/>
    <col min="12802" max="12802" width="18.42578125" style="44" bestFit="1" customWidth="1"/>
    <col min="12803" max="12806" width="12.42578125" style="44" bestFit="1" customWidth="1"/>
    <col min="12807" max="12807" width="11.7109375" style="44" bestFit="1" customWidth="1"/>
    <col min="12808" max="13056" width="9.140625" style="44"/>
    <col min="13057" max="13057" width="37.28515625" style="44" customWidth="1"/>
    <col min="13058" max="13058" width="18.42578125" style="44" bestFit="1" customWidth="1"/>
    <col min="13059" max="13062" width="12.42578125" style="44" bestFit="1" customWidth="1"/>
    <col min="13063" max="13063" width="11.7109375" style="44" bestFit="1" customWidth="1"/>
    <col min="13064" max="13312" width="9.140625" style="44"/>
    <col min="13313" max="13313" width="37.28515625" style="44" customWidth="1"/>
    <col min="13314" max="13314" width="18.42578125" style="44" bestFit="1" customWidth="1"/>
    <col min="13315" max="13318" width="12.42578125" style="44" bestFit="1" customWidth="1"/>
    <col min="13319" max="13319" width="11.7109375" style="44" bestFit="1" customWidth="1"/>
    <col min="13320" max="13568" width="9.140625" style="44"/>
    <col min="13569" max="13569" width="37.28515625" style="44" customWidth="1"/>
    <col min="13570" max="13570" width="18.42578125" style="44" bestFit="1" customWidth="1"/>
    <col min="13571" max="13574" width="12.42578125" style="44" bestFit="1" customWidth="1"/>
    <col min="13575" max="13575" width="11.7109375" style="44" bestFit="1" customWidth="1"/>
    <col min="13576" max="13824" width="9.140625" style="44"/>
    <col min="13825" max="13825" width="37.28515625" style="44" customWidth="1"/>
    <col min="13826" max="13826" width="18.42578125" style="44" bestFit="1" customWidth="1"/>
    <col min="13827" max="13830" width="12.42578125" style="44" bestFit="1" customWidth="1"/>
    <col min="13831" max="13831" width="11.7109375" style="44" bestFit="1" customWidth="1"/>
    <col min="13832" max="14080" width="9.140625" style="44"/>
    <col min="14081" max="14081" width="37.28515625" style="44" customWidth="1"/>
    <col min="14082" max="14082" width="18.42578125" style="44" bestFit="1" customWidth="1"/>
    <col min="14083" max="14086" width="12.42578125" style="44" bestFit="1" customWidth="1"/>
    <col min="14087" max="14087" width="11.7109375" style="44" bestFit="1" customWidth="1"/>
    <col min="14088" max="14336" width="9.140625" style="44"/>
    <col min="14337" max="14337" width="37.28515625" style="44" customWidth="1"/>
    <col min="14338" max="14338" width="18.42578125" style="44" bestFit="1" customWidth="1"/>
    <col min="14339" max="14342" width="12.42578125" style="44" bestFit="1" customWidth="1"/>
    <col min="14343" max="14343" width="11.7109375" style="44" bestFit="1" customWidth="1"/>
    <col min="14344" max="14592" width="9.140625" style="44"/>
    <col min="14593" max="14593" width="37.28515625" style="44" customWidth="1"/>
    <col min="14594" max="14594" width="18.42578125" style="44" bestFit="1" customWidth="1"/>
    <col min="14595" max="14598" width="12.42578125" style="44" bestFit="1" customWidth="1"/>
    <col min="14599" max="14599" width="11.7109375" style="44" bestFit="1" customWidth="1"/>
    <col min="14600" max="14848" width="9.140625" style="44"/>
    <col min="14849" max="14849" width="37.28515625" style="44" customWidth="1"/>
    <col min="14850" max="14850" width="18.42578125" style="44" bestFit="1" customWidth="1"/>
    <col min="14851" max="14854" width="12.42578125" style="44" bestFit="1" customWidth="1"/>
    <col min="14855" max="14855" width="11.7109375" style="44" bestFit="1" customWidth="1"/>
    <col min="14856" max="15104" width="9.140625" style="44"/>
    <col min="15105" max="15105" width="37.28515625" style="44" customWidth="1"/>
    <col min="15106" max="15106" width="18.42578125" style="44" bestFit="1" customWidth="1"/>
    <col min="15107" max="15110" width="12.42578125" style="44" bestFit="1" customWidth="1"/>
    <col min="15111" max="15111" width="11.7109375" style="44" bestFit="1" customWidth="1"/>
    <col min="15112" max="15360" width="9.140625" style="44"/>
    <col min="15361" max="15361" width="37.28515625" style="44" customWidth="1"/>
    <col min="15362" max="15362" width="18.42578125" style="44" bestFit="1" customWidth="1"/>
    <col min="15363" max="15366" width="12.42578125" style="44" bestFit="1" customWidth="1"/>
    <col min="15367" max="15367" width="11.7109375" style="44" bestFit="1" customWidth="1"/>
    <col min="15368" max="15616" width="9.140625" style="44"/>
    <col min="15617" max="15617" width="37.28515625" style="44" customWidth="1"/>
    <col min="15618" max="15618" width="18.42578125" style="44" bestFit="1" customWidth="1"/>
    <col min="15619" max="15622" width="12.42578125" style="44" bestFit="1" customWidth="1"/>
    <col min="15623" max="15623" width="11.7109375" style="44" bestFit="1" customWidth="1"/>
    <col min="15624" max="15872" width="9.140625" style="44"/>
    <col min="15873" max="15873" width="37.28515625" style="44" customWidth="1"/>
    <col min="15874" max="15874" width="18.42578125" style="44" bestFit="1" customWidth="1"/>
    <col min="15875" max="15878" width="12.42578125" style="44" bestFit="1" customWidth="1"/>
    <col min="15879" max="15879" width="11.7109375" style="44" bestFit="1" customWidth="1"/>
    <col min="15880" max="16128" width="9.140625" style="44"/>
    <col min="16129" max="16129" width="37.28515625" style="44" customWidth="1"/>
    <col min="16130" max="16130" width="18.42578125" style="44" bestFit="1" customWidth="1"/>
    <col min="16131" max="16134" width="12.42578125" style="44" bestFit="1" customWidth="1"/>
    <col min="16135" max="16135" width="11.7109375" style="44" bestFit="1" customWidth="1"/>
    <col min="16136" max="16384" width="9.140625" style="44"/>
  </cols>
  <sheetData>
    <row r="1" spans="1:18">
      <c r="A1" s="716"/>
      <c r="B1" s="716"/>
      <c r="C1" s="716"/>
      <c r="D1" s="716"/>
      <c r="E1" s="716"/>
      <c r="F1" s="716"/>
    </row>
    <row r="2" spans="1:18" ht="18.75">
      <c r="A2" s="735" t="s">
        <v>504</v>
      </c>
      <c r="B2" s="701"/>
      <c r="C2" s="701"/>
      <c r="D2" s="701"/>
      <c r="E2" s="701"/>
      <c r="F2" s="701"/>
      <c r="G2" s="701"/>
      <c r="H2" s="701"/>
      <c r="I2" s="71"/>
    </row>
    <row r="3" spans="1:18">
      <c r="A3" s="72"/>
      <c r="B3" s="46"/>
      <c r="C3" s="46"/>
      <c r="D3" s="46"/>
      <c r="E3" s="46"/>
      <c r="F3" s="46"/>
    </row>
    <row r="4" spans="1:18">
      <c r="A4" s="101" t="s">
        <v>0</v>
      </c>
      <c r="B4" s="102" t="s">
        <v>2</v>
      </c>
      <c r="C4" s="102" t="s">
        <v>3</v>
      </c>
      <c r="D4" s="102" t="s">
        <v>4</v>
      </c>
      <c r="E4" s="102" t="s">
        <v>5</v>
      </c>
      <c r="F4" s="102" t="s">
        <v>6</v>
      </c>
      <c r="G4" s="103" t="s">
        <v>163</v>
      </c>
      <c r="H4" s="103" t="s">
        <v>162</v>
      </c>
    </row>
    <row r="5" spans="1:18" s="45" customFormat="1">
      <c r="A5" s="104"/>
      <c r="B5" s="105"/>
      <c r="C5" s="106"/>
      <c r="D5" s="106"/>
      <c r="E5" s="106"/>
      <c r="F5" s="106"/>
      <c r="G5" s="106"/>
      <c r="H5" s="106"/>
    </row>
    <row r="6" spans="1:18">
      <c r="A6" s="107" t="s">
        <v>46</v>
      </c>
      <c r="B6" s="108"/>
      <c r="C6" s="108"/>
      <c r="D6" s="108"/>
      <c r="E6" s="108"/>
      <c r="F6" s="108"/>
      <c r="G6" s="108"/>
      <c r="H6" s="108"/>
    </row>
    <row r="7" spans="1:18">
      <c r="A7" s="109" t="s">
        <v>47</v>
      </c>
      <c r="B7" s="110"/>
      <c r="C7" s="110"/>
      <c r="D7" s="110"/>
      <c r="E7" s="110"/>
      <c r="F7" s="110"/>
      <c r="G7" s="110"/>
      <c r="H7" s="110"/>
    </row>
    <row r="8" spans="1:18">
      <c r="A8" s="111" t="s">
        <v>241</v>
      </c>
      <c r="B8" s="495">
        <f>+'8.Cash Flow '!C35</f>
        <v>19.753972164671609</v>
      </c>
      <c r="C8" s="495">
        <f>+'8.Cash Flow '!D35</f>
        <v>38.884358706540979</v>
      </c>
      <c r="D8" s="495">
        <f>+'8.Cash Flow '!E35</f>
        <v>61.023333117877286</v>
      </c>
      <c r="E8" s="495">
        <f>+'8.Cash Flow '!F35</f>
        <v>87.181007879105863</v>
      </c>
      <c r="F8" s="495">
        <f>+'8.Cash Flow '!G35</f>
        <v>117.0160477228238</v>
      </c>
      <c r="G8" s="495">
        <f>+'8.Cash Flow '!H35</f>
        <v>161.2725831276604</v>
      </c>
      <c r="H8" s="495">
        <f>+'8.Cash Flow '!I35</f>
        <v>208.57846493715161</v>
      </c>
      <c r="K8" s="57"/>
      <c r="L8" s="57"/>
      <c r="M8" s="57"/>
      <c r="N8" s="57"/>
      <c r="O8" s="57"/>
      <c r="P8" s="57"/>
      <c r="Q8" s="57"/>
      <c r="R8" s="57"/>
    </row>
    <row r="9" spans="1:18">
      <c r="A9" s="112" t="s">
        <v>242</v>
      </c>
      <c r="B9" s="108">
        <f>+'5.Closing Stock &amp; W Capital'!E40</f>
        <v>17.693188888888887</v>
      </c>
      <c r="C9" s="108">
        <f>+'5.Closing Stock &amp; W Capital'!F40</f>
        <v>21.163738333333338</v>
      </c>
      <c r="D9" s="108">
        <f>+'5.Closing Stock &amp; W Capital'!G40</f>
        <v>24.081716000000004</v>
      </c>
      <c r="E9" s="108">
        <f>+'5.Closing Stock &amp; W Capital'!H40</f>
        <v>27.457557816666668</v>
      </c>
      <c r="F9" s="108">
        <f>+'5.Closing Stock &amp; W Capital'!I40</f>
        <v>30.791019139583337</v>
      </c>
      <c r="G9" s="108">
        <f>+'5.Closing Stock &amp; W Capital'!J40</f>
        <v>34.323708320562503</v>
      </c>
      <c r="H9" s="108">
        <f>+'5.Closing Stock &amp; W Capital'!K40</f>
        <v>38.026307078743756</v>
      </c>
      <c r="J9" s="47">
        <f>+C9+C11-B9-B11</f>
        <v>4.8330494444444536</v>
      </c>
      <c r="K9" s="57"/>
      <c r="L9" s="57"/>
      <c r="M9" s="57"/>
      <c r="N9" s="57"/>
      <c r="O9" s="57"/>
      <c r="P9" s="57"/>
      <c r="Q9" s="57"/>
      <c r="R9" s="57"/>
    </row>
    <row r="10" spans="1:18">
      <c r="A10" s="112" t="s">
        <v>537</v>
      </c>
      <c r="B10" s="108"/>
      <c r="C10" s="108"/>
      <c r="D10" s="108"/>
      <c r="E10" s="108"/>
      <c r="F10" s="108"/>
      <c r="G10" s="108"/>
      <c r="H10" s="108"/>
      <c r="K10" s="57"/>
      <c r="L10" s="57"/>
      <c r="M10" s="57"/>
      <c r="N10" s="57"/>
      <c r="O10" s="57"/>
      <c r="P10" s="57"/>
      <c r="Q10" s="57"/>
      <c r="R10" s="57"/>
    </row>
    <row r="11" spans="1:18">
      <c r="A11" s="112" t="s">
        <v>798</v>
      </c>
      <c r="B11" s="108">
        <f>+'5.Closing Stock &amp; W Capital'!E42</f>
        <v>8.9799999999999986</v>
      </c>
      <c r="C11" s="108">
        <f>+'5.Closing Stock &amp; W Capital'!F42</f>
        <v>10.342500000000001</v>
      </c>
      <c r="D11" s="108">
        <f>+'5.Closing Stock &amp; W Capital'!G42</f>
        <v>11.4991</v>
      </c>
      <c r="E11" s="108">
        <f>+'5.Closing Stock &amp; W Capital'!H42</f>
        <v>12.930702500000001</v>
      </c>
      <c r="F11" s="108">
        <f>+'5.Closing Stock &amp; W Capital'!I42</f>
        <v>14.282161250000001</v>
      </c>
      <c r="G11" s="108">
        <f>+'5.Closing Stock &amp; W Capital'!J42</f>
        <v>15.940707668750004</v>
      </c>
      <c r="H11" s="108">
        <f>+'5.Closing Stock &amp; W Capital'!K42</f>
        <v>19.323963523750002</v>
      </c>
      <c r="K11" s="57"/>
      <c r="L11" s="57"/>
      <c r="M11" s="57"/>
      <c r="N11" s="57"/>
      <c r="O11" s="57"/>
      <c r="P11" s="57"/>
      <c r="Q11" s="57"/>
      <c r="R11" s="57"/>
    </row>
    <row r="12" spans="1:18">
      <c r="A12" s="109" t="s">
        <v>243</v>
      </c>
      <c r="B12" s="495">
        <f>SUM(B8:B11)</f>
        <v>46.427161053560489</v>
      </c>
      <c r="C12" s="495">
        <f t="shared" ref="C12:H12" si="0">SUM(C8:C11)</f>
        <v>70.390597039874322</v>
      </c>
      <c r="D12" s="495">
        <f t="shared" si="0"/>
        <v>96.604149117877284</v>
      </c>
      <c r="E12" s="495">
        <f t="shared" si="0"/>
        <v>127.56926819577252</v>
      </c>
      <c r="F12" s="495">
        <f t="shared" si="0"/>
        <v>162.08922811240714</v>
      </c>
      <c r="G12" s="495">
        <f t="shared" si="0"/>
        <v>211.53699911697291</v>
      </c>
      <c r="H12" s="495">
        <f t="shared" si="0"/>
        <v>265.9287355396454</v>
      </c>
    </row>
    <row r="13" spans="1:18">
      <c r="A13" s="109"/>
      <c r="B13" s="108"/>
      <c r="C13" s="108"/>
      <c r="D13" s="108"/>
      <c r="E13" s="108"/>
      <c r="F13" s="108"/>
      <c r="G13" s="108"/>
      <c r="H13" s="108"/>
      <c r="J13" s="57"/>
      <c r="K13" s="57"/>
      <c r="L13" s="57"/>
      <c r="M13" s="57"/>
      <c r="N13" s="57"/>
      <c r="O13" s="57"/>
      <c r="P13" s="57"/>
      <c r="Q13" s="57"/>
    </row>
    <row r="14" spans="1:18">
      <c r="A14" s="113" t="s">
        <v>244</v>
      </c>
      <c r="B14" s="108">
        <f>'3.Other Exp &amp; Taxes'!C57</f>
        <v>186.04437999999999</v>
      </c>
      <c r="C14" s="108">
        <f>'3.Other Exp &amp; Taxes'!D57</f>
        <v>177.72196674600002</v>
      </c>
      <c r="D14" s="108">
        <f>'3.Other Exp &amp; Taxes'!E57</f>
        <v>169.399553492</v>
      </c>
      <c r="E14" s="108">
        <f>'3.Other Exp &amp; Taxes'!F57</f>
        <v>161.07714023800003</v>
      </c>
      <c r="F14" s="108">
        <f>'3.Other Exp &amp; Taxes'!G57</f>
        <v>152.754726984</v>
      </c>
      <c r="G14" s="108">
        <f>'3.Other Exp &amp; Taxes'!H57</f>
        <v>144.43231373000003</v>
      </c>
      <c r="H14" s="108">
        <f>'3.Other Exp &amp; Taxes'!I57</f>
        <v>136.10990047600001</v>
      </c>
    </row>
    <row r="15" spans="1:18">
      <c r="A15" s="113" t="s">
        <v>245</v>
      </c>
      <c r="B15" s="108">
        <f>'3.Other Exp &amp; Taxes'!C58</f>
        <v>8.3224132540000006</v>
      </c>
      <c r="C15" s="108">
        <f>'3.Other Exp &amp; Taxes'!D58</f>
        <v>8.3224132540000006</v>
      </c>
      <c r="D15" s="108">
        <f>'3.Other Exp &amp; Taxes'!E58</f>
        <v>8.3224132540000006</v>
      </c>
      <c r="E15" s="108">
        <f>'3.Other Exp &amp; Taxes'!F58</f>
        <v>8.3224132540000006</v>
      </c>
      <c r="F15" s="108">
        <f>'3.Other Exp &amp; Taxes'!G58</f>
        <v>8.3224132540000006</v>
      </c>
      <c r="G15" s="108">
        <f>'3.Other Exp &amp; Taxes'!H58</f>
        <v>8.3224132540000006</v>
      </c>
      <c r="H15" s="108">
        <f>'3.Other Exp &amp; Taxes'!I58</f>
        <v>8.3224132540000006</v>
      </c>
      <c r="K15" s="57"/>
      <c r="L15" s="57"/>
      <c r="M15" s="57"/>
      <c r="N15" s="57"/>
      <c r="O15" s="57"/>
      <c r="P15" s="57"/>
      <c r="Q15" s="57"/>
    </row>
    <row r="16" spans="1:18" s="46" customFormat="1">
      <c r="A16" s="109" t="s">
        <v>190</v>
      </c>
      <c r="B16" s="495">
        <f t="shared" ref="B16:H16" si="1">B14-B15</f>
        <v>177.72196674599999</v>
      </c>
      <c r="C16" s="495">
        <f t="shared" si="1"/>
        <v>169.39955349200002</v>
      </c>
      <c r="D16" s="495">
        <f t="shared" si="1"/>
        <v>161.077140238</v>
      </c>
      <c r="E16" s="495">
        <f t="shared" si="1"/>
        <v>152.75472698400003</v>
      </c>
      <c r="F16" s="495">
        <f t="shared" si="1"/>
        <v>144.43231373</v>
      </c>
      <c r="G16" s="495">
        <f t="shared" si="1"/>
        <v>136.10990047600004</v>
      </c>
      <c r="H16" s="495">
        <f t="shared" si="1"/>
        <v>127.78748722200001</v>
      </c>
    </row>
    <row r="17" spans="1:8" s="46" customFormat="1">
      <c r="A17" s="109"/>
      <c r="B17" s="495"/>
      <c r="C17" s="495"/>
      <c r="D17" s="495"/>
      <c r="E17" s="495"/>
      <c r="F17" s="495"/>
      <c r="G17" s="495"/>
      <c r="H17" s="495"/>
    </row>
    <row r="18" spans="1:8" s="46" customFormat="1">
      <c r="A18" s="114" t="s">
        <v>886</v>
      </c>
      <c r="B18" s="495">
        <f>+'6.Cons Profit &amp; Loss'!B57</f>
        <v>7.5952778856809973</v>
      </c>
      <c r="C18" s="636">
        <f>+'6.Cons Profit &amp; Loss'!C57+B18</f>
        <v>17.439621697793953</v>
      </c>
      <c r="D18" s="636">
        <f>+'6.Cons Profit &amp; Loss'!D57+C18</f>
        <v>29.162699173531728</v>
      </c>
      <c r="E18" s="636">
        <f>+'6.Cons Profit &amp; Loss'!E57+D18</f>
        <v>43.539285300605087</v>
      </c>
      <c r="F18" s="636">
        <f>+'6.Cons Profit &amp; Loss'!F57+E18</f>
        <v>60.343413919840515</v>
      </c>
      <c r="G18" s="636">
        <f>+'6.Cons Profit &amp; Loss'!G57+F18</f>
        <v>79.516716606678429</v>
      </c>
      <c r="H18" s="636">
        <f>+'6.Cons Profit &amp; Loss'!H57+G18</f>
        <v>100.53127955385916</v>
      </c>
    </row>
    <row r="19" spans="1:8" s="46" customFormat="1">
      <c r="A19" s="109" t="s">
        <v>468</v>
      </c>
      <c r="B19" s="495">
        <f>'8.Cash Flow '!C22-'6.Cons Profit &amp; Loss'!B47</f>
        <v>8.3719970999999997</v>
      </c>
      <c r="C19" s="495">
        <f>B19-'6.Cons Profit &amp; Loss'!C47</f>
        <v>7.4417751999999995</v>
      </c>
      <c r="D19" s="495">
        <f>C19-'6.Cons Profit &amp; Loss'!D47</f>
        <v>6.5115532999999992</v>
      </c>
      <c r="E19" s="495">
        <f>D19-'6.Cons Profit &amp; Loss'!E47</f>
        <v>5.5813313999999989</v>
      </c>
      <c r="F19" s="495">
        <f>E19-'6.Cons Profit &amp; Loss'!F47</f>
        <v>4.6511094999999987</v>
      </c>
      <c r="G19" s="495">
        <f>F19-'6.Cons Profit &amp; Loss'!G47</f>
        <v>3.7208875999999989</v>
      </c>
      <c r="H19" s="495">
        <f>G19-'6.Cons Profit &amp; Loss'!H47</f>
        <v>2.790665699999999</v>
      </c>
    </row>
    <row r="20" spans="1:8">
      <c r="A20" s="113"/>
      <c r="B20" s="108"/>
      <c r="C20" s="108"/>
      <c r="D20" s="108"/>
      <c r="E20" s="108"/>
      <c r="F20" s="108"/>
      <c r="G20" s="108"/>
      <c r="H20" s="108"/>
    </row>
    <row r="21" spans="1:8">
      <c r="A21" s="114" t="s">
        <v>247</v>
      </c>
      <c r="B21" s="496">
        <f t="shared" ref="B21:H21" si="2">B12+B16+B18+B19</f>
        <v>240.11640278524146</v>
      </c>
      <c r="C21" s="496">
        <f t="shared" si="2"/>
        <v>264.67154742966829</v>
      </c>
      <c r="D21" s="496">
        <f t="shared" si="2"/>
        <v>293.35554182940905</v>
      </c>
      <c r="E21" s="496">
        <f t="shared" si="2"/>
        <v>329.44461188037764</v>
      </c>
      <c r="F21" s="496">
        <f t="shared" si="2"/>
        <v>371.51606526224765</v>
      </c>
      <c r="G21" s="496">
        <f t="shared" si="2"/>
        <v>430.88450379965138</v>
      </c>
      <c r="H21" s="496">
        <f t="shared" si="2"/>
        <v>497.0381680155046</v>
      </c>
    </row>
    <row r="22" spans="1:8">
      <c r="A22" s="104"/>
      <c r="B22" s="497"/>
      <c r="C22" s="497"/>
      <c r="D22" s="497"/>
      <c r="E22" s="497"/>
      <c r="F22" s="497"/>
      <c r="G22" s="497"/>
      <c r="H22" s="497"/>
    </row>
    <row r="23" spans="1:8">
      <c r="A23" s="107" t="s">
        <v>248</v>
      </c>
      <c r="B23" s="110"/>
      <c r="C23" s="110"/>
      <c r="D23" s="110"/>
      <c r="E23" s="110"/>
      <c r="F23" s="110"/>
      <c r="G23" s="110"/>
      <c r="H23" s="110"/>
    </row>
    <row r="24" spans="1:8">
      <c r="A24" s="109" t="s">
        <v>249</v>
      </c>
      <c r="B24" s="110"/>
      <c r="C24" s="110"/>
      <c r="D24" s="110"/>
      <c r="E24" s="110"/>
      <c r="F24" s="110"/>
      <c r="G24" s="110"/>
      <c r="H24" s="110"/>
    </row>
    <row r="25" spans="1:8">
      <c r="A25" s="112" t="s">
        <v>250</v>
      </c>
      <c r="B25" s="495">
        <f>+'5.Closing Stock &amp; W Capital'!E56</f>
        <v>8.5384438849780686</v>
      </c>
      <c r="C25" s="495">
        <f>+'5.Closing Stock &amp; W Capital'!F56</f>
        <v>10.617104159928729</v>
      </c>
      <c r="D25" s="495">
        <f>+'5.Closing Stock &amp; W Capital'!G56</f>
        <v>11.96699515761815</v>
      </c>
      <c r="E25" s="495">
        <f>+'5.Closing Stock &amp; W Capital'!H56</f>
        <v>13.670799825806068</v>
      </c>
      <c r="F25" s="495">
        <f>+'5.Closing Stock &amp; W Capital'!I56</f>
        <v>15.270889037047034</v>
      </c>
      <c r="G25" s="495">
        <f>+'5.Closing Stock &amp; W Capital'!J56</f>
        <v>17.081874682634037</v>
      </c>
      <c r="H25" s="495">
        <f>+'5.Closing Stock &amp; W Capital'!K56</f>
        <v>20.003271136167449</v>
      </c>
    </row>
    <row r="26" spans="1:8">
      <c r="A26" s="112" t="s">
        <v>251</v>
      </c>
      <c r="B26" s="497">
        <f>+'5.Closing Stock &amp; W Capital'!E54</f>
        <v>15.288597042251462</v>
      </c>
      <c r="C26" s="497">
        <f>+'5.Closing Stock &amp; W Capital'!F54</f>
        <v>17.350099453428367</v>
      </c>
      <c r="D26" s="497">
        <f>+'5.Closing Stock &amp; W Capital'!G54</f>
        <v>19.62482245650914</v>
      </c>
      <c r="E26" s="497">
        <f>+'5.Closing Stock &amp; W Capital'!H54</f>
        <v>22.160527215591909</v>
      </c>
      <c r="F26" s="497">
        <f>+'5.Closing Stock &amp; W Capital'!I54</f>
        <v>24.711995006853964</v>
      </c>
      <c r="G26" s="497">
        <f>+'5.Closing Stock &amp; W Capital'!J54</f>
        <v>27.488583079133793</v>
      </c>
      <c r="H26" s="497">
        <f>+'5.Closing Stock &amp; W Capital'!K54</f>
        <v>30.679242420937157</v>
      </c>
    </row>
    <row r="27" spans="1:8" s="45" customFormat="1">
      <c r="A27" s="112" t="s">
        <v>252</v>
      </c>
      <c r="B27" s="495"/>
      <c r="C27" s="495"/>
      <c r="D27" s="495"/>
      <c r="E27" s="495"/>
      <c r="F27" s="495"/>
      <c r="G27" s="495"/>
      <c r="H27" s="495"/>
    </row>
    <row r="28" spans="1:8" s="45" customFormat="1">
      <c r="A28" s="109" t="s">
        <v>253</v>
      </c>
      <c r="B28" s="496">
        <f t="shared" ref="B28:H28" si="3">SUM(B25:B27)</f>
        <v>23.827040927229532</v>
      </c>
      <c r="C28" s="496">
        <f t="shared" si="3"/>
        <v>27.967203613357096</v>
      </c>
      <c r="D28" s="496">
        <f t="shared" si="3"/>
        <v>31.59181761412729</v>
      </c>
      <c r="E28" s="496">
        <f t="shared" si="3"/>
        <v>35.831327041397977</v>
      </c>
      <c r="F28" s="496">
        <f t="shared" si="3"/>
        <v>39.982884043900995</v>
      </c>
      <c r="G28" s="496">
        <f t="shared" si="3"/>
        <v>44.570457761767827</v>
      </c>
      <c r="H28" s="496">
        <f t="shared" si="3"/>
        <v>50.682513557104606</v>
      </c>
    </row>
    <row r="29" spans="1:8" s="45" customFormat="1">
      <c r="A29" s="109" t="s">
        <v>254</v>
      </c>
      <c r="B29" s="496">
        <f>'4.TL repayment sch'!G21</f>
        <v>35.465140737263916</v>
      </c>
      <c r="C29" s="496">
        <f>'4.TL repayment sch'!G33</f>
        <v>27.753426089526091</v>
      </c>
      <c r="D29" s="496">
        <f>'4.TL repayment sch'!G45</f>
        <v>19.318299414960098</v>
      </c>
      <c r="E29" s="496">
        <f>'4.TL repayment sch'!G57</f>
        <v>10.091899675591318</v>
      </c>
      <c r="F29" s="496">
        <f>'4.TL repayment sch'!G69</f>
        <v>-1.4321877017664519E-14</v>
      </c>
      <c r="G29" s="496">
        <f>'4.TL repayment sch'!G81</f>
        <v>0</v>
      </c>
      <c r="H29" s="496">
        <f>'[2]Term Loan'!J72+'[2]Term Loan'!S72</f>
        <v>0</v>
      </c>
    </row>
    <row r="30" spans="1:8" s="45" customFormat="1">
      <c r="A30" s="109" t="s">
        <v>255</v>
      </c>
      <c r="B30" s="496"/>
      <c r="C30" s="496"/>
      <c r="D30" s="496"/>
      <c r="E30" s="496"/>
      <c r="F30" s="496"/>
      <c r="G30" s="496"/>
      <c r="H30" s="496"/>
    </row>
    <row r="31" spans="1:8" s="45" customFormat="1">
      <c r="A31" s="109"/>
      <c r="B31" s="498"/>
      <c r="C31" s="498"/>
      <c r="D31" s="498"/>
      <c r="E31" s="498"/>
      <c r="F31" s="498"/>
      <c r="G31" s="498"/>
      <c r="H31" s="498"/>
    </row>
    <row r="32" spans="1:8">
      <c r="A32" s="114" t="s">
        <v>256</v>
      </c>
      <c r="B32" s="496">
        <f t="shared" ref="B32:H32" si="4">SUM(B28:B30)</f>
        <v>59.292181664493448</v>
      </c>
      <c r="C32" s="496">
        <f t="shared" si="4"/>
        <v>55.720629702883187</v>
      </c>
      <c r="D32" s="496">
        <f t="shared" si="4"/>
        <v>50.910117029087388</v>
      </c>
      <c r="E32" s="496">
        <f t="shared" si="4"/>
        <v>45.923226716989291</v>
      </c>
      <c r="F32" s="496">
        <f t="shared" si="4"/>
        <v>39.982884043900981</v>
      </c>
      <c r="G32" s="496">
        <f t="shared" si="4"/>
        <v>44.570457761767827</v>
      </c>
      <c r="H32" s="496">
        <f t="shared" si="4"/>
        <v>50.682513557104606</v>
      </c>
    </row>
    <row r="33" spans="1:8">
      <c r="A33" s="104"/>
      <c r="B33" s="116"/>
      <c r="C33" s="116"/>
      <c r="D33" s="116"/>
      <c r="E33" s="116"/>
      <c r="F33" s="116"/>
      <c r="G33" s="116"/>
      <c r="H33" s="116"/>
    </row>
    <row r="34" spans="1:8">
      <c r="A34" s="113" t="s">
        <v>257</v>
      </c>
      <c r="B34" s="108">
        <f>'1.Project Cost and MOF'!E19</f>
        <v>41.915467761659372</v>
      </c>
      <c r="C34" s="108">
        <f>B34</f>
        <v>41.915467761659372</v>
      </c>
      <c r="D34" s="108">
        <f t="shared" ref="D34:H35" si="5">C34</f>
        <v>41.915467761659372</v>
      </c>
      <c r="E34" s="108">
        <f t="shared" si="5"/>
        <v>41.915467761659372</v>
      </c>
      <c r="F34" s="108">
        <f t="shared" si="5"/>
        <v>41.915467761659372</v>
      </c>
      <c r="G34" s="108">
        <f t="shared" si="5"/>
        <v>41.915467761659372</v>
      </c>
      <c r="H34" s="108">
        <f t="shared" si="5"/>
        <v>41.915467761659372</v>
      </c>
    </row>
    <row r="35" spans="1:8">
      <c r="A35" s="113" t="s">
        <v>469</v>
      </c>
      <c r="B35" s="108">
        <f>'1.Project Cost and MOF'!E20</f>
        <v>117.20795939999999</v>
      </c>
      <c r="C35" s="108">
        <f>B35</f>
        <v>117.20795939999999</v>
      </c>
      <c r="D35" s="108">
        <f t="shared" si="5"/>
        <v>117.20795939999999</v>
      </c>
      <c r="E35" s="108">
        <f t="shared" si="5"/>
        <v>117.20795939999999</v>
      </c>
      <c r="F35" s="108">
        <f t="shared" si="5"/>
        <v>117.20795939999999</v>
      </c>
      <c r="G35" s="108">
        <f t="shared" si="5"/>
        <v>117.20795939999999</v>
      </c>
      <c r="H35" s="108">
        <f t="shared" si="5"/>
        <v>117.20795939999999</v>
      </c>
    </row>
    <row r="36" spans="1:8">
      <c r="A36" s="109" t="s">
        <v>258</v>
      </c>
      <c r="B36" s="108"/>
      <c r="C36" s="108"/>
      <c r="D36" s="108"/>
      <c r="E36" s="108"/>
      <c r="F36" s="108"/>
      <c r="G36" s="108"/>
      <c r="H36" s="108"/>
    </row>
    <row r="37" spans="1:8">
      <c r="A37" s="113" t="s">
        <v>259</v>
      </c>
      <c r="B37" s="108">
        <v>0</v>
      </c>
      <c r="C37" s="108">
        <f t="shared" ref="C37:H37" si="6">B40</f>
        <v>21.700793959088564</v>
      </c>
      <c r="D37" s="108">
        <f t="shared" si="6"/>
        <v>49.827490565125579</v>
      </c>
      <c r="E37" s="108">
        <f t="shared" si="6"/>
        <v>83.321997638662083</v>
      </c>
      <c r="F37" s="108">
        <f t="shared" si="6"/>
        <v>124.39795800172882</v>
      </c>
      <c r="G37" s="108">
        <f t="shared" si="6"/>
        <v>172.40975405668718</v>
      </c>
      <c r="H37" s="108">
        <f t="shared" si="6"/>
        <v>227.19061887622408</v>
      </c>
    </row>
    <row r="38" spans="1:8">
      <c r="A38" s="113" t="s">
        <v>260</v>
      </c>
      <c r="B38" s="108">
        <f>+'6.Cons Profit &amp; Loss'!B58</f>
        <v>14.105516073407568</v>
      </c>
      <c r="C38" s="108">
        <f>+'6.Cons Profit &amp; Loss'!C58</f>
        <v>18.282352793924062</v>
      </c>
      <c r="D38" s="108">
        <f>+'6.Cons Profit &amp; Loss'!D58</f>
        <v>21.771429597798722</v>
      </c>
      <c r="E38" s="108">
        <f>+'6.Cons Profit &amp; Loss'!E58</f>
        <v>26.699374235993389</v>
      </c>
      <c r="F38" s="108">
        <f>+'6.Cons Profit &amp; Loss'!F58</f>
        <v>31.207667435722936</v>
      </c>
      <c r="G38" s="108">
        <f>+'6.Cons Profit &amp; Loss'!G58</f>
        <v>35.607562132698988</v>
      </c>
      <c r="H38" s="108">
        <f>+'6.Cons Profit &amp; Loss'!H58</f>
        <v>39.027045473335662</v>
      </c>
    </row>
    <row r="39" spans="1:8" ht="42.75">
      <c r="A39" s="637" t="str">
        <f>+'[3]6.Cons Profit &amp; Loss'!A57</f>
        <v>Appropriation 40% for Investment reserve ( Distribution of Dividend and Bonus Shares)</v>
      </c>
      <c r="B39" s="108">
        <f>+'6.Cons Profit &amp; Loss'!B57</f>
        <v>7.5952778856809973</v>
      </c>
      <c r="C39" s="108">
        <f>+'6.Cons Profit &amp; Loss'!C57</f>
        <v>9.844343812112955</v>
      </c>
      <c r="D39" s="108">
        <f>+'6.Cons Profit &amp; Loss'!D57</f>
        <v>11.723077475737773</v>
      </c>
      <c r="E39" s="108">
        <f>+'6.Cons Profit &amp; Loss'!E57</f>
        <v>14.376586127073361</v>
      </c>
      <c r="F39" s="108">
        <f>+'6.Cons Profit &amp; Loss'!F57</f>
        <v>16.804128619235424</v>
      </c>
      <c r="G39" s="108">
        <f>+'6.Cons Profit &amp; Loss'!G57</f>
        <v>19.173302686837914</v>
      </c>
      <c r="H39" s="108">
        <f>+'6.Cons Profit &amp; Loss'!H57</f>
        <v>21.014562947180739</v>
      </c>
    </row>
    <row r="40" spans="1:8">
      <c r="A40" s="113" t="s">
        <v>261</v>
      </c>
      <c r="B40" s="108">
        <f>+B38+B39</f>
        <v>21.700793959088564</v>
      </c>
      <c r="C40" s="108">
        <f>+C38+C39+C37</f>
        <v>49.827490565125579</v>
      </c>
      <c r="D40" s="108">
        <f t="shared" ref="D40:H40" si="7">+D38+D39+D37</f>
        <v>83.321997638662083</v>
      </c>
      <c r="E40" s="108">
        <f t="shared" si="7"/>
        <v>124.39795800172882</v>
      </c>
      <c r="F40" s="108">
        <f t="shared" si="7"/>
        <v>172.40975405668718</v>
      </c>
      <c r="G40" s="108">
        <f t="shared" si="7"/>
        <v>227.19061887622408</v>
      </c>
      <c r="H40" s="108">
        <f t="shared" si="7"/>
        <v>287.23222729674046</v>
      </c>
    </row>
    <row r="41" spans="1:8">
      <c r="A41" s="113"/>
      <c r="B41" s="110"/>
      <c r="C41" s="110"/>
      <c r="D41" s="110"/>
      <c r="E41" s="110"/>
      <c r="F41" s="110"/>
      <c r="G41" s="110"/>
      <c r="H41" s="110"/>
    </row>
    <row r="42" spans="1:8">
      <c r="A42" s="115" t="s">
        <v>262</v>
      </c>
      <c r="B42" s="499">
        <f t="shared" ref="B42:H42" si="8">B34+B40+B35</f>
        <v>180.82422112074792</v>
      </c>
      <c r="C42" s="499">
        <f t="shared" si="8"/>
        <v>208.95091772678495</v>
      </c>
      <c r="D42" s="499">
        <f t="shared" si="8"/>
        <v>242.44542480032146</v>
      </c>
      <c r="E42" s="499">
        <f t="shared" si="8"/>
        <v>283.52138516338817</v>
      </c>
      <c r="F42" s="499">
        <f t="shared" si="8"/>
        <v>331.53318121834656</v>
      </c>
      <c r="G42" s="499">
        <f t="shared" si="8"/>
        <v>386.31404603788343</v>
      </c>
      <c r="H42" s="499">
        <f t="shared" si="8"/>
        <v>446.35565445839984</v>
      </c>
    </row>
    <row r="43" spans="1:8">
      <c r="A43" s="104"/>
      <c r="B43" s="108"/>
      <c r="C43" s="108"/>
      <c r="D43" s="108"/>
      <c r="E43" s="108"/>
      <c r="F43" s="108"/>
      <c r="G43" s="108"/>
      <c r="H43" s="108"/>
    </row>
    <row r="44" spans="1:8">
      <c r="A44" s="114" t="s">
        <v>263</v>
      </c>
      <c r="B44" s="496">
        <f t="shared" ref="B44:H44" si="9">B32+B42</f>
        <v>240.11640278524138</v>
      </c>
      <c r="C44" s="496">
        <f t="shared" si="9"/>
        <v>264.67154742966812</v>
      </c>
      <c r="D44" s="496">
        <f t="shared" si="9"/>
        <v>293.35554182940882</v>
      </c>
      <c r="E44" s="496">
        <f t="shared" si="9"/>
        <v>329.44461188037747</v>
      </c>
      <c r="F44" s="496">
        <f t="shared" si="9"/>
        <v>371.51606526224754</v>
      </c>
      <c r="G44" s="496">
        <f t="shared" si="9"/>
        <v>430.88450379965127</v>
      </c>
      <c r="H44" s="496">
        <f t="shared" si="9"/>
        <v>497.03816801550443</v>
      </c>
    </row>
    <row r="45" spans="1:8">
      <c r="A45" s="104"/>
      <c r="B45" s="116"/>
      <c r="C45" s="116"/>
      <c r="D45" s="116"/>
      <c r="E45" s="116"/>
      <c r="F45" s="116"/>
      <c r="G45" s="116"/>
      <c r="H45" s="116"/>
    </row>
    <row r="46" spans="1:8">
      <c r="A46" s="117" t="s">
        <v>264</v>
      </c>
      <c r="B46" s="118"/>
      <c r="C46" s="118"/>
      <c r="D46" s="118"/>
      <c r="E46" s="118"/>
      <c r="F46" s="118"/>
      <c r="G46" s="118"/>
      <c r="H46" s="118"/>
    </row>
    <row r="47" spans="1:8">
      <c r="A47" s="119" t="s">
        <v>265</v>
      </c>
      <c r="B47" s="120">
        <f t="shared" ref="B47:H47" si="10">B44-B21</f>
        <v>0</v>
      </c>
      <c r="C47" s="120">
        <f t="shared" si="10"/>
        <v>0</v>
      </c>
      <c r="D47" s="120">
        <f t="shared" si="10"/>
        <v>0</v>
      </c>
      <c r="E47" s="120">
        <f t="shared" si="10"/>
        <v>0</v>
      </c>
      <c r="F47" s="120">
        <f t="shared" si="10"/>
        <v>0</v>
      </c>
      <c r="G47" s="120">
        <f t="shared" si="10"/>
        <v>0</v>
      </c>
      <c r="H47" s="120">
        <f t="shared" si="10"/>
        <v>0</v>
      </c>
    </row>
    <row r="48" spans="1:8">
      <c r="A48" s="119"/>
      <c r="B48" s="120"/>
      <c r="C48" s="120"/>
      <c r="D48" s="120"/>
      <c r="E48" s="120"/>
      <c r="F48" s="120"/>
      <c r="G48" s="120"/>
      <c r="H48" s="120"/>
    </row>
    <row r="49" spans="1:9" ht="15.75" thickBot="1">
      <c r="A49" s="121"/>
      <c r="B49" s="122"/>
      <c r="C49" s="122"/>
      <c r="D49" s="122"/>
      <c r="E49" s="122"/>
      <c r="F49" s="122"/>
      <c r="G49" s="122"/>
      <c r="H49" s="122"/>
    </row>
    <row r="50" spans="1:9">
      <c r="B50" s="47"/>
      <c r="C50" s="47"/>
      <c r="D50" s="47"/>
      <c r="E50" s="47"/>
      <c r="F50" s="47"/>
      <c r="G50" s="47"/>
      <c r="H50" s="47"/>
    </row>
    <row r="51" spans="1:9" ht="39.6" customHeight="1">
      <c r="A51" s="736" t="s">
        <v>389</v>
      </c>
      <c r="B51" s="736"/>
      <c r="C51" s="736"/>
      <c r="D51" s="736"/>
      <c r="E51" s="736"/>
      <c r="F51" s="736"/>
      <c r="G51" s="736"/>
      <c r="H51" s="736"/>
      <c r="I51" s="619"/>
    </row>
  </sheetData>
  <mergeCells count="3">
    <mergeCell ref="A1:F1"/>
    <mergeCell ref="A2:H2"/>
    <mergeCell ref="A51:H51"/>
  </mergeCells>
  <conditionalFormatting sqref="B37:F38 B38:H38 B39:C39">
    <cfRule type="cellIs" dxfId="3" priority="4" operator="lessThan">
      <formula>0</formula>
    </cfRule>
  </conditionalFormatting>
  <conditionalFormatting sqref="G37:G38">
    <cfRule type="cellIs" dxfId="2" priority="3" operator="lessThan">
      <formula>0</formula>
    </cfRule>
  </conditionalFormatting>
  <conditionalFormatting sqref="H37:H38">
    <cfRule type="cellIs" dxfId="1" priority="2" operator="lessThan">
      <formula>0</formula>
    </cfRule>
  </conditionalFormatting>
  <conditionalFormatting sqref="D39:H39">
    <cfRule type="cellIs" dxfId="0" priority="1" operator="lessThan">
      <formula>0</formula>
    </cfRule>
  </conditionalFormatting>
  <pageMargins left="0.7" right="0.7" top="0.75" bottom="0.75" header="0.3" footer="0.3"/>
  <pageSetup scale="6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51"/>
  <sheetViews>
    <sheetView view="pageBreakPreview" zoomScale="55" zoomScaleNormal="100" zoomScaleSheetLayoutView="55" workbookViewId="0">
      <selection activeCell="H45" sqref="H45"/>
    </sheetView>
  </sheetViews>
  <sheetFormatPr defaultRowHeight="15"/>
  <cols>
    <col min="1" max="1" width="32.140625" customWidth="1"/>
    <col min="2" max="2" width="23.28515625" bestFit="1" customWidth="1"/>
    <col min="3" max="8" width="12.140625" customWidth="1"/>
    <col min="9" max="9" width="11.42578125" bestFit="1" customWidth="1"/>
    <col min="10" max="10" width="9.140625" bestFit="1" customWidth="1"/>
  </cols>
  <sheetData>
    <row r="1" spans="1:24" ht="18.75">
      <c r="A1" s="703" t="s">
        <v>458</v>
      </c>
      <c r="B1" s="703"/>
      <c r="C1" s="703"/>
      <c r="D1" s="703"/>
      <c r="E1" s="703"/>
      <c r="F1" s="703"/>
      <c r="G1" s="703"/>
      <c r="H1" s="703"/>
    </row>
    <row r="2" spans="1:24">
      <c r="B2" s="4"/>
    </row>
    <row r="3" spans="1:24" ht="18.75">
      <c r="A3" s="744" t="s">
        <v>517</v>
      </c>
      <c r="B3" s="744"/>
    </row>
    <row r="4" spans="1:24">
      <c r="A4" s="248" t="s">
        <v>0</v>
      </c>
      <c r="B4" s="265" t="s">
        <v>378</v>
      </c>
      <c r="C4" s="266"/>
      <c r="D4" s="266"/>
      <c r="E4" s="266"/>
      <c r="F4" s="266"/>
      <c r="G4" s="266"/>
      <c r="H4" s="266"/>
    </row>
    <row r="5" spans="1:24">
      <c r="A5" s="10" t="s">
        <v>456</v>
      </c>
      <c r="B5" s="245">
        <v>0</v>
      </c>
      <c r="C5" s="267"/>
      <c r="D5" s="268"/>
      <c r="E5" s="268"/>
      <c r="F5" s="268"/>
      <c r="G5" s="268"/>
      <c r="H5" s="268"/>
    </row>
    <row r="6" spans="1:24">
      <c r="A6" s="10" t="s">
        <v>457</v>
      </c>
      <c r="B6" s="245">
        <v>0</v>
      </c>
      <c r="C6" s="267"/>
      <c r="D6" s="268"/>
      <c r="E6" s="268"/>
      <c r="F6" s="268"/>
      <c r="G6" s="268"/>
      <c r="H6" s="268"/>
    </row>
    <row r="7" spans="1:24">
      <c r="A7" s="2" t="s">
        <v>1</v>
      </c>
      <c r="B7" s="284">
        <f>B5+B6</f>
        <v>0</v>
      </c>
      <c r="C7" s="269"/>
      <c r="D7" s="270"/>
      <c r="E7" s="270"/>
      <c r="F7" s="270"/>
      <c r="G7" s="270"/>
      <c r="H7" s="270"/>
    </row>
    <row r="8" spans="1:24">
      <c r="A8" s="2" t="s">
        <v>636</v>
      </c>
      <c r="B8" s="283">
        <v>2</v>
      </c>
      <c r="C8" s="269"/>
      <c r="D8" s="269"/>
      <c r="E8" s="269"/>
      <c r="F8" s="269"/>
      <c r="G8" s="269"/>
      <c r="H8" s="269"/>
    </row>
    <row r="9" spans="1:24">
      <c r="A9" s="2" t="s">
        <v>637</v>
      </c>
      <c r="B9" s="284">
        <f>+B7*B8</f>
        <v>0</v>
      </c>
      <c r="C9" s="270"/>
      <c r="D9" s="270"/>
      <c r="E9" s="270"/>
      <c r="F9" s="270"/>
      <c r="G9" s="270"/>
      <c r="H9" s="270"/>
    </row>
    <row r="11" spans="1:24" ht="18.75">
      <c r="A11" s="703" t="s">
        <v>518</v>
      </c>
      <c r="B11" s="703"/>
      <c r="C11" s="703"/>
      <c r="D11" s="703"/>
      <c r="E11" s="703"/>
      <c r="F11" s="703"/>
      <c r="G11" s="703"/>
      <c r="H11" s="703"/>
      <c r="I11" s="244"/>
      <c r="J11" s="244"/>
      <c r="K11" s="244"/>
      <c r="L11" s="244"/>
      <c r="M11" s="244"/>
      <c r="N11" s="244"/>
      <c r="O11" s="244"/>
      <c r="P11" s="244"/>
    </row>
    <row r="12" spans="1:24">
      <c r="J12" s="3"/>
      <c r="K12" s="262"/>
      <c r="L12" s="262"/>
      <c r="M12" s="262"/>
      <c r="N12" s="262"/>
      <c r="O12" s="3"/>
      <c r="P12" s="3"/>
      <c r="Q12" s="3"/>
      <c r="R12" s="3"/>
      <c r="S12" s="3"/>
      <c r="T12" s="3"/>
      <c r="U12" s="3"/>
      <c r="V12" s="6"/>
      <c r="W12" s="6"/>
      <c r="X12" s="6"/>
    </row>
    <row r="13" spans="1:24" ht="60">
      <c r="A13" s="248" t="s">
        <v>380</v>
      </c>
      <c r="B13" s="248" t="s">
        <v>381</v>
      </c>
      <c r="C13" s="249" t="s">
        <v>432</v>
      </c>
      <c r="D13" s="249" t="s">
        <v>638</v>
      </c>
      <c r="E13" s="249" t="s">
        <v>800</v>
      </c>
      <c r="F13" s="249" t="s">
        <v>801</v>
      </c>
      <c r="G13" s="249" t="s">
        <v>582</v>
      </c>
      <c r="H13" s="249" t="s">
        <v>802</v>
      </c>
      <c r="O13" s="261"/>
      <c r="P13" s="261"/>
      <c r="Q13" s="261"/>
      <c r="R13" s="261"/>
      <c r="S13" s="261"/>
      <c r="T13" s="261"/>
      <c r="U13" s="261"/>
      <c r="V13" s="261"/>
      <c r="W13" s="261"/>
      <c r="X13" s="261"/>
    </row>
    <row r="14" spans="1:24">
      <c r="A14" s="745" t="s">
        <v>382</v>
      </c>
      <c r="B14" s="245" t="s">
        <v>890</v>
      </c>
      <c r="C14" s="259">
        <v>0.18</v>
      </c>
      <c r="D14" s="540">
        <f>+$B$9*C14</f>
        <v>0</v>
      </c>
      <c r="E14" s="246">
        <v>2.5</v>
      </c>
      <c r="F14" s="10">
        <f>+D14*E14</f>
        <v>0</v>
      </c>
      <c r="G14" s="260">
        <v>0.2</v>
      </c>
      <c r="H14" s="622">
        <f>+F14*0.8</f>
        <v>0</v>
      </c>
      <c r="J14" s="539">
        <f>450+'[3]13.Facility 2 Grain Processing-'!B32</f>
        <v>585</v>
      </c>
    </row>
    <row r="15" spans="1:24">
      <c r="A15" s="746"/>
      <c r="B15" s="245" t="s">
        <v>454</v>
      </c>
      <c r="C15" s="259">
        <v>0.13063063063063063</v>
      </c>
      <c r="D15" s="540">
        <f t="shared" ref="D15:D18" si="0">+$B$9*C15</f>
        <v>0</v>
      </c>
      <c r="E15" s="246">
        <v>3.7</v>
      </c>
      <c r="F15" s="10">
        <f t="shared" ref="F15:F18" si="1">+D15*E15</f>
        <v>0</v>
      </c>
      <c r="G15" s="260">
        <v>0.2</v>
      </c>
      <c r="H15" s="622">
        <f t="shared" ref="H15:H18" si="2">+F15*0.8</f>
        <v>0</v>
      </c>
      <c r="I15" s="322"/>
      <c r="J15" s="539">
        <f>450+'[3]13.Facility 2 Grain Processing-'!B33</f>
        <v>518</v>
      </c>
    </row>
    <row r="16" spans="1:24">
      <c r="A16" s="746"/>
      <c r="B16" s="245" t="s">
        <v>635</v>
      </c>
      <c r="C16" s="259">
        <v>0.01</v>
      </c>
      <c r="D16" s="540">
        <f t="shared" si="0"/>
        <v>0</v>
      </c>
      <c r="E16" s="246">
        <v>25</v>
      </c>
      <c r="F16" s="10">
        <f t="shared" si="1"/>
        <v>0</v>
      </c>
      <c r="G16" s="260">
        <v>0.2</v>
      </c>
      <c r="H16" s="622">
        <f t="shared" si="2"/>
        <v>0</v>
      </c>
      <c r="J16" s="539">
        <f>450+'[3]13.Facility 2 Grain Processing-'!B34</f>
        <v>518</v>
      </c>
    </row>
    <row r="17" spans="1:10">
      <c r="A17" s="282"/>
      <c r="B17" s="281" t="s">
        <v>891</v>
      </c>
      <c r="C17" s="259">
        <v>0</v>
      </c>
      <c r="D17" s="540">
        <f t="shared" si="0"/>
        <v>0</v>
      </c>
      <c r="E17" s="246">
        <v>0</v>
      </c>
      <c r="F17" s="10">
        <f t="shared" si="1"/>
        <v>0</v>
      </c>
      <c r="G17" s="260">
        <v>0.2</v>
      </c>
      <c r="H17" s="622">
        <f t="shared" si="2"/>
        <v>0</v>
      </c>
      <c r="J17" s="539">
        <v>0</v>
      </c>
    </row>
    <row r="18" spans="1:10">
      <c r="A18" s="282" t="s">
        <v>459</v>
      </c>
      <c r="B18" s="281" t="s">
        <v>892</v>
      </c>
      <c r="C18" s="259">
        <v>9.4594594594594582E-3</v>
      </c>
      <c r="D18" s="540">
        <f t="shared" si="0"/>
        <v>0</v>
      </c>
      <c r="E18" s="246">
        <v>37</v>
      </c>
      <c r="F18" s="10">
        <f t="shared" si="1"/>
        <v>0</v>
      </c>
      <c r="G18" s="260">
        <v>0.2</v>
      </c>
      <c r="H18" s="622">
        <f t="shared" si="2"/>
        <v>0</v>
      </c>
      <c r="J18" s="539">
        <f>450+'[3]13.Facility 2 Grain Processing-'!B36</f>
        <v>450</v>
      </c>
    </row>
    <row r="19" spans="1:10">
      <c r="A19" s="282" t="s">
        <v>460</v>
      </c>
      <c r="B19" s="281"/>
      <c r="C19" s="245">
        <v>0</v>
      </c>
      <c r="D19" s="540"/>
      <c r="E19" s="246"/>
      <c r="F19" s="10"/>
      <c r="G19" s="260"/>
      <c r="H19" s="10"/>
    </row>
    <row r="20" spans="1:10">
      <c r="A20" s="747" t="s">
        <v>383</v>
      </c>
      <c r="B20" s="747"/>
      <c r="C20" s="747"/>
      <c r="D20" s="747"/>
      <c r="E20" s="747"/>
      <c r="F20" s="747"/>
      <c r="G20" s="747"/>
      <c r="H20" s="747"/>
    </row>
    <row r="22" spans="1:10" ht="18.75">
      <c r="A22" s="748" t="s">
        <v>893</v>
      </c>
      <c r="B22" s="749"/>
      <c r="C22" s="749"/>
      <c r="D22" s="749"/>
      <c r="E22" s="749"/>
      <c r="F22" s="749"/>
      <c r="G22" s="749"/>
      <c r="H22" s="750"/>
    </row>
    <row r="23" spans="1:10">
      <c r="A23" s="751" t="s">
        <v>0</v>
      </c>
      <c r="B23" s="273">
        <v>0.5</v>
      </c>
      <c r="C23" s="273">
        <f>+B23+5%</f>
        <v>0.55000000000000004</v>
      </c>
      <c r="D23" s="273">
        <f t="shared" ref="D23:H23" si="3">+C23+5%</f>
        <v>0.60000000000000009</v>
      </c>
      <c r="E23" s="273">
        <f t="shared" si="3"/>
        <v>0.65000000000000013</v>
      </c>
      <c r="F23" s="273">
        <f t="shared" si="3"/>
        <v>0.70000000000000018</v>
      </c>
      <c r="G23" s="273">
        <f t="shared" si="3"/>
        <v>0.75000000000000022</v>
      </c>
      <c r="H23" s="273">
        <f t="shared" si="3"/>
        <v>0.80000000000000027</v>
      </c>
    </row>
    <row r="24" spans="1:10">
      <c r="A24" s="752"/>
      <c r="B24" s="265" t="s">
        <v>2</v>
      </c>
      <c r="C24" s="265" t="s">
        <v>3</v>
      </c>
      <c r="D24" s="265" t="s">
        <v>4</v>
      </c>
      <c r="E24" s="265" t="s">
        <v>5</v>
      </c>
      <c r="F24" s="265" t="s">
        <v>6</v>
      </c>
      <c r="G24" s="265" t="s">
        <v>163</v>
      </c>
      <c r="H24" s="265" t="s">
        <v>162</v>
      </c>
    </row>
    <row r="25" spans="1:10">
      <c r="A25" s="10" t="str">
        <f>B14</f>
        <v>Okra</v>
      </c>
      <c r="B25" s="10">
        <v>0</v>
      </c>
      <c r="C25" s="10">
        <v>0</v>
      </c>
      <c r="D25" s="10">
        <v>0</v>
      </c>
      <c r="E25" s="10">
        <v>0</v>
      </c>
      <c r="F25" s="10">
        <v>0</v>
      </c>
      <c r="G25" s="10">
        <v>0</v>
      </c>
      <c r="H25" s="10">
        <v>0</v>
      </c>
    </row>
    <row r="26" spans="1:10">
      <c r="A26" s="10" t="str">
        <f>B15</f>
        <v>Chilli</v>
      </c>
      <c r="B26" s="10">
        <v>0</v>
      </c>
      <c r="C26" s="10">
        <v>0</v>
      </c>
      <c r="D26" s="10">
        <v>0</v>
      </c>
      <c r="E26" s="10">
        <v>0</v>
      </c>
      <c r="F26" s="10">
        <v>0</v>
      </c>
      <c r="G26" s="10">
        <v>0</v>
      </c>
      <c r="H26" s="10">
        <v>0</v>
      </c>
    </row>
    <row r="27" spans="1:10">
      <c r="A27" s="10" t="str">
        <f>B16</f>
        <v>Tomato</v>
      </c>
      <c r="B27" s="10">
        <v>0</v>
      </c>
      <c r="C27" s="10">
        <v>0</v>
      </c>
      <c r="D27" s="10">
        <v>0</v>
      </c>
      <c r="E27" s="10">
        <v>0</v>
      </c>
      <c r="F27" s="10">
        <v>0</v>
      </c>
      <c r="G27" s="10">
        <v>0</v>
      </c>
      <c r="H27" s="10">
        <v>0</v>
      </c>
    </row>
    <row r="28" spans="1:10">
      <c r="A28" s="10" t="str">
        <f>B17</f>
        <v>Bitter Gourd</v>
      </c>
      <c r="B28" s="10">
        <v>0</v>
      </c>
      <c r="C28" s="10">
        <v>0</v>
      </c>
      <c r="D28" s="10">
        <v>0</v>
      </c>
      <c r="E28" s="10">
        <v>0</v>
      </c>
      <c r="F28" s="10">
        <v>0</v>
      </c>
      <c r="G28" s="10">
        <v>0</v>
      </c>
      <c r="H28" s="10">
        <v>0</v>
      </c>
    </row>
    <row r="29" spans="1:10">
      <c r="A29" s="10" t="str">
        <f>B18</f>
        <v>Curliflower</v>
      </c>
      <c r="B29" s="10">
        <v>0</v>
      </c>
      <c r="C29" s="10">
        <v>0</v>
      </c>
      <c r="D29" s="10">
        <v>0</v>
      </c>
      <c r="E29" s="10">
        <v>0</v>
      </c>
      <c r="F29" s="10">
        <v>0</v>
      </c>
      <c r="G29" s="10">
        <v>0</v>
      </c>
      <c r="H29" s="10">
        <v>0</v>
      </c>
    </row>
    <row r="30" spans="1:10">
      <c r="A30" s="323"/>
      <c r="B30" s="324"/>
      <c r="C30" s="324"/>
      <c r="D30" s="324"/>
      <c r="E30" s="324"/>
      <c r="F30" s="324"/>
      <c r="G30" s="324"/>
      <c r="H30" s="325"/>
    </row>
    <row r="31" spans="1:10" ht="18.75">
      <c r="A31" s="737" t="s">
        <v>519</v>
      </c>
      <c r="B31" s="738"/>
      <c r="C31" s="738"/>
      <c r="D31" s="738"/>
      <c r="E31" s="738"/>
      <c r="F31" s="738"/>
      <c r="G31" s="738"/>
      <c r="H31" s="739"/>
    </row>
    <row r="32" spans="1:10">
      <c r="A32" s="740" t="s">
        <v>0</v>
      </c>
      <c r="B32" s="273">
        <v>0.5</v>
      </c>
      <c r="C32" s="541">
        <v>0.6</v>
      </c>
      <c r="D32" s="541">
        <v>0.69090909090909092</v>
      </c>
      <c r="E32" s="541">
        <v>0.77424242424242429</v>
      </c>
      <c r="F32" s="541">
        <v>0.85116550116550127</v>
      </c>
      <c r="G32" s="541">
        <v>0.92259407259407267</v>
      </c>
      <c r="H32" s="541">
        <v>0.98926073926073932</v>
      </c>
    </row>
    <row r="33" spans="1:9">
      <c r="A33" s="741"/>
      <c r="B33" s="265" t="s">
        <v>2</v>
      </c>
      <c r="C33" s="265" t="s">
        <v>3</v>
      </c>
      <c r="D33" s="265" t="s">
        <v>4</v>
      </c>
      <c r="E33" s="265" t="s">
        <v>5</v>
      </c>
      <c r="F33" s="265" t="s">
        <v>6</v>
      </c>
      <c r="G33" s="265" t="s">
        <v>163</v>
      </c>
      <c r="H33" s="265" t="s">
        <v>162</v>
      </c>
    </row>
    <row r="34" spans="1:9" s="13" customFormat="1">
      <c r="A34" s="10" t="str">
        <f>+B14</f>
        <v>Okra</v>
      </c>
      <c r="B34" s="10">
        <v>0</v>
      </c>
      <c r="C34" s="10">
        <v>0</v>
      </c>
      <c r="D34" s="10">
        <v>0</v>
      </c>
      <c r="E34" s="10">
        <v>0</v>
      </c>
      <c r="F34" s="10">
        <v>0</v>
      </c>
      <c r="G34" s="10">
        <v>0</v>
      </c>
      <c r="H34" s="10">
        <v>0</v>
      </c>
    </row>
    <row r="35" spans="1:9">
      <c r="A35" s="10" t="str">
        <f>A26</f>
        <v>Chilli</v>
      </c>
      <c r="B35" s="10">
        <v>0</v>
      </c>
      <c r="C35" s="10">
        <v>0</v>
      </c>
      <c r="D35" s="10">
        <v>0</v>
      </c>
      <c r="E35" s="10">
        <v>0</v>
      </c>
      <c r="F35" s="10">
        <v>0</v>
      </c>
      <c r="G35" s="10">
        <v>0</v>
      </c>
      <c r="H35" s="10">
        <v>0</v>
      </c>
    </row>
    <row r="36" spans="1:9">
      <c r="A36" s="10" t="str">
        <f t="shared" ref="A36:A39" si="4">A27</f>
        <v>Tomato</v>
      </c>
      <c r="B36" s="10">
        <v>0</v>
      </c>
      <c r="C36" s="10">
        <v>0</v>
      </c>
      <c r="D36" s="10">
        <v>0</v>
      </c>
      <c r="E36" s="10">
        <v>0</v>
      </c>
      <c r="F36" s="10">
        <v>0</v>
      </c>
      <c r="G36" s="10">
        <v>0</v>
      </c>
      <c r="H36" s="10">
        <v>0</v>
      </c>
    </row>
    <row r="37" spans="1:9">
      <c r="A37" s="10" t="str">
        <f t="shared" si="4"/>
        <v>Bitter Gourd</v>
      </c>
      <c r="B37" s="10">
        <v>0</v>
      </c>
      <c r="C37" s="10">
        <v>0</v>
      </c>
      <c r="D37" s="10">
        <v>0</v>
      </c>
      <c r="E37" s="10">
        <v>0</v>
      </c>
      <c r="F37" s="10">
        <v>0</v>
      </c>
      <c r="G37" s="10">
        <v>0</v>
      </c>
      <c r="H37" s="10">
        <v>0</v>
      </c>
    </row>
    <row r="38" spans="1:9">
      <c r="A38" s="10" t="str">
        <f t="shared" si="4"/>
        <v>Curliflower</v>
      </c>
      <c r="B38" s="10">
        <v>0</v>
      </c>
      <c r="C38" s="10">
        <v>0</v>
      </c>
      <c r="D38" s="10">
        <v>0</v>
      </c>
      <c r="E38" s="10">
        <v>0</v>
      </c>
      <c r="F38" s="10">
        <v>0</v>
      </c>
      <c r="G38" s="10">
        <v>0</v>
      </c>
      <c r="H38" s="10">
        <v>0</v>
      </c>
    </row>
    <row r="39" spans="1:9">
      <c r="A39" s="10">
        <f t="shared" si="4"/>
        <v>0</v>
      </c>
      <c r="B39" s="10">
        <v>0</v>
      </c>
      <c r="C39" s="10">
        <v>0</v>
      </c>
      <c r="D39" s="10">
        <v>0</v>
      </c>
      <c r="E39" s="10">
        <v>0</v>
      </c>
      <c r="F39" s="10">
        <v>0</v>
      </c>
      <c r="G39" s="10">
        <v>0</v>
      </c>
      <c r="H39" s="10">
        <v>0</v>
      </c>
    </row>
    <row r="40" spans="1:9">
      <c r="A40" s="323"/>
      <c r="B40" s="324"/>
      <c r="C40" s="324"/>
      <c r="D40" s="324"/>
      <c r="E40" s="324"/>
      <c r="F40" s="324"/>
      <c r="G40" s="324"/>
      <c r="H40" s="325"/>
    </row>
    <row r="41" spans="1:9" ht="18.75">
      <c r="A41" s="737" t="s">
        <v>520</v>
      </c>
      <c r="B41" s="738"/>
      <c r="C41" s="738"/>
      <c r="D41" s="738"/>
      <c r="E41" s="738"/>
      <c r="F41" s="738"/>
      <c r="G41" s="738"/>
      <c r="H41" s="739"/>
    </row>
    <row r="42" spans="1:9">
      <c r="A42" s="742" t="s">
        <v>0</v>
      </c>
      <c r="B42" s="290">
        <v>1</v>
      </c>
      <c r="C42" s="290">
        <v>1</v>
      </c>
      <c r="D42" s="290">
        <v>1</v>
      </c>
      <c r="E42" s="290">
        <v>1</v>
      </c>
      <c r="F42" s="290">
        <v>1</v>
      </c>
      <c r="G42" s="290">
        <v>1</v>
      </c>
      <c r="H42" s="290">
        <v>1</v>
      </c>
    </row>
    <row r="43" spans="1:9">
      <c r="A43" s="743"/>
      <c r="B43" s="265" t="s">
        <v>2</v>
      </c>
      <c r="C43" s="265" t="s">
        <v>3</v>
      </c>
      <c r="D43" s="265" t="s">
        <v>4</v>
      </c>
      <c r="E43" s="265" t="s">
        <v>5</v>
      </c>
      <c r="F43" s="265" t="s">
        <v>6</v>
      </c>
      <c r="G43" s="265" t="s">
        <v>163</v>
      </c>
      <c r="H43" s="265" t="s">
        <v>162</v>
      </c>
    </row>
    <row r="44" spans="1:9" s="13" customFormat="1">
      <c r="A44" s="10"/>
      <c r="B44" s="10"/>
      <c r="C44" s="263"/>
      <c r="D44" s="263"/>
      <c r="E44" s="263"/>
      <c r="F44" s="263"/>
      <c r="G44" s="263"/>
      <c r="H44" s="263"/>
    </row>
    <row r="45" spans="1:9">
      <c r="A45" s="10" t="str">
        <f>A35</f>
        <v>Chilli</v>
      </c>
      <c r="B45" s="10">
        <v>0</v>
      </c>
      <c r="C45" s="263">
        <v>0</v>
      </c>
      <c r="D45" s="263">
        <f t="shared" ref="D45:H45" si="5">(C45/C$42)*D$42</f>
        <v>0</v>
      </c>
      <c r="E45" s="263">
        <f t="shared" si="5"/>
        <v>0</v>
      </c>
      <c r="F45" s="263">
        <f t="shared" si="5"/>
        <v>0</v>
      </c>
      <c r="G45" s="263">
        <f t="shared" si="5"/>
        <v>0</v>
      </c>
      <c r="H45" s="263">
        <f t="shared" si="5"/>
        <v>0</v>
      </c>
    </row>
    <row r="47" spans="1:9">
      <c r="C47" s="4"/>
      <c r="D47" s="6"/>
      <c r="E47" s="6"/>
      <c r="F47" s="6"/>
      <c r="G47" s="6"/>
      <c r="H47" s="6"/>
      <c r="I47" s="6"/>
    </row>
    <row r="48" spans="1:9">
      <c r="A48" t="s">
        <v>486</v>
      </c>
      <c r="C48" s="631"/>
      <c r="D48" s="631"/>
      <c r="E48" s="631"/>
      <c r="F48" s="631"/>
      <c r="G48" s="631"/>
      <c r="H48" s="631"/>
      <c r="I48" s="631"/>
    </row>
    <row r="49" spans="1:2">
      <c r="A49">
        <v>1</v>
      </c>
      <c r="B49" t="s">
        <v>487</v>
      </c>
    </row>
    <row r="50" spans="1:2">
      <c r="A50">
        <v>2</v>
      </c>
      <c r="B50" t="s">
        <v>488</v>
      </c>
    </row>
    <row r="51" spans="1:2">
      <c r="A51">
        <v>3</v>
      </c>
      <c r="B51" t="s">
        <v>489</v>
      </c>
    </row>
  </sheetData>
  <mergeCells count="11">
    <mergeCell ref="A31:H31"/>
    <mergeCell ref="A32:A33"/>
    <mergeCell ref="A41:H41"/>
    <mergeCell ref="A42:A43"/>
    <mergeCell ref="A1:H1"/>
    <mergeCell ref="A3:B3"/>
    <mergeCell ref="A11:H11"/>
    <mergeCell ref="A14:A16"/>
    <mergeCell ref="A20:H20"/>
    <mergeCell ref="A22:H22"/>
    <mergeCell ref="A23:A24"/>
  </mergeCells>
  <pageMargins left="0.7" right="0.7" top="0.75" bottom="0.75" header="0.3" footer="0.3"/>
  <pageSetup scale="52" orientation="portrait" r:id="rId1"/>
  <rowBreaks count="1" manualBreakCount="1">
    <brk id="63" max="7" man="1"/>
  </rowBreaks>
  <colBreaks count="1" manualBreakCount="1">
    <brk id="8" max="113"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19</vt:i4>
      </vt:variant>
      <vt:variant>
        <vt:lpstr>Named Ranges</vt:lpstr>
      </vt:variant>
      <vt:variant>
        <vt:i4>17</vt:i4>
      </vt:variant>
    </vt:vector>
  </HeadingPairs>
  <TitlesOfParts>
    <vt:vector size="36" baseType="lpstr">
      <vt:lpstr>Note for users</vt:lpstr>
      <vt:lpstr>1.Project Cost and MOF</vt:lpstr>
      <vt:lpstr>2.Capex Details</vt:lpstr>
      <vt:lpstr>3.Other Exp &amp; Taxes</vt:lpstr>
      <vt:lpstr>4.TL repayment sch</vt:lpstr>
      <vt:lpstr>5.Closing Stock &amp; W Capital</vt:lpstr>
      <vt:lpstr>6.Cons Profit &amp; Loss</vt:lpstr>
      <vt:lpstr>7.Balance Sheet</vt:lpstr>
      <vt:lpstr>11.F&amp;V Crop Production details</vt:lpstr>
      <vt:lpstr>8.Cash Flow </vt:lpstr>
      <vt:lpstr>9. Financial indiacators</vt:lpstr>
      <vt:lpstr>10.Grain Production details</vt:lpstr>
      <vt:lpstr>12.Facility 1 - Trading</vt:lpstr>
      <vt:lpstr>17.Facility 6 F &amp; V Processing </vt:lpstr>
      <vt:lpstr>14. Facility 3 Warehouse</vt:lpstr>
      <vt:lpstr>15. Facility 4 Custom Hiring</vt:lpstr>
      <vt:lpstr>16.Facility 5 Agri Input</vt:lpstr>
      <vt:lpstr>13.Facility 2 Grain Processing</vt:lpstr>
      <vt:lpstr>Input Sheet</vt:lpstr>
      <vt:lpstr>'1.Project Cost and MOF'!Print_Area</vt:lpstr>
      <vt:lpstr>'10.Grain Production details'!Print_Area</vt:lpstr>
      <vt:lpstr>'11.F&amp;V Crop Production details'!Print_Area</vt:lpstr>
      <vt:lpstr>'12.Facility 1 - Trading'!Print_Area</vt:lpstr>
      <vt:lpstr>'13.Facility 2 Grain Processing'!Print_Area</vt:lpstr>
      <vt:lpstr>'14. Facility 3 Warehouse'!Print_Area</vt:lpstr>
      <vt:lpstr>'15. Facility 4 Custom Hiring'!Print_Area</vt:lpstr>
      <vt:lpstr>'16.Facility 5 Agri Input'!Print_Area</vt:lpstr>
      <vt:lpstr>'17.Facility 6 F &amp; V Processing '!Print_Area</vt:lpstr>
      <vt:lpstr>'2.Capex Details'!Print_Area</vt:lpstr>
      <vt:lpstr>'3.Other Exp &amp; Taxes'!Print_Area</vt:lpstr>
      <vt:lpstr>'4.TL repayment sch'!Print_Area</vt:lpstr>
      <vt:lpstr>'5.Closing Stock &amp; W Capital'!Print_Area</vt:lpstr>
      <vt:lpstr>'6.Cons Profit &amp; Loss'!Print_Area</vt:lpstr>
      <vt:lpstr>'7.Balance Sheet'!Print_Area</vt:lpstr>
      <vt:lpstr>'8.Cash Flow '!Print_Area</vt:lpstr>
      <vt:lpstr>'9. Financial indiacators'!Print_Area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2022-12-23T16:10:05Z</dcterms:modified>
</cp:coreProperties>
</file>